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tick\__SSGPI\__docs trippel\bedrijfsvoorheffing\simulatiemodule\2026\Jobpol\"/>
    </mc:Choice>
  </mc:AlternateContent>
  <xr:revisionPtr revIDLastSave="0" documentId="8_{0CE470B2-F604-4942-844F-1655E11B9AE7}" xr6:coauthVersionLast="47" xr6:coauthVersionMax="47" xr10:uidLastSave="{00000000-0000-0000-0000-000000000000}"/>
  <workbookProtection workbookAlgorithmName="SHA-512" workbookHashValue="KfCn8Eiw70tYvZkuLerXmxxdgGl6qVU1uiURV0HbP/S2mowIr3F6ZqZPtemEapE5nnuPnijMZ6LMtxHOT9sWDQ==" workbookSaltValue="jJ3+HUFyVuixjGASJPvKbg==" workbookSpinCount="100000" lockStructure="1"/>
  <bookViews>
    <workbookView xWindow="28680" yWindow="-120" windowWidth="29040" windowHeight="15720" xr2:uid="{FC3E1EC8-5BDD-40EA-9495-D9A0257C23B8}"/>
  </bookViews>
  <sheets>
    <sheet name="Pre-programmed simulation" sheetId="10" r:id="rId1"/>
    <sheet name="SIMUL" sheetId="6" state="hidden" r:id="rId2"/>
    <sheet name="SIMUL SSGPI" sheetId="3" state="hidden" r:id="rId3"/>
    <sheet name="BV" sheetId="1" state="hidden" r:id="rId4"/>
    <sheet name="Gegevenslijsten" sheetId="2" state="hidden" r:id="rId5"/>
    <sheet name="BBSZ" sheetId="4" state="hidden" r:id="rId6"/>
    <sheet name="Werkbonus" sheetId="9" state="hidden" r:id="rId7"/>
    <sheet name="Loonschalen" sheetId="7" state="hidden" r:id="rId8"/>
    <sheet name="Jaartoelagen" sheetId="8" state="hidden" r:id="rId9"/>
  </sheets>
  <definedNames>
    <definedName name="_xlnm.Print_Area" localSheetId="0">'Pre-programmed simulation'!$A$1:$B$13</definedName>
    <definedName name="_xlnm.Print_Area" localSheetId="1">SIMUL!$EZ$133:$FD$195</definedName>
    <definedName name="_xlnm.Print_Area" localSheetId="2">'SIMUL SSGPI'!$A$1:$J$84</definedName>
    <definedName name="alleenst">BBSZ!$B$11</definedName>
    <definedName name="breuk">'SIMUL SSGPI'!$B$7</definedName>
    <definedName name="gehuwdink">BBSZ!$D$11</definedName>
    <definedName name="gehuwdzink">BBSZ!$C$11</definedName>
    <definedName name="index">BBSZ!$D$2</definedName>
    <definedName name="minimum">BBSZ!$G$3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T52" i="8"/>
  <c r="T51" i="8"/>
  <c r="T50" i="8"/>
  <c r="T49" i="8"/>
  <c r="T48" i="8"/>
  <c r="T47" i="8"/>
  <c r="T46" i="8"/>
  <c r="T45" i="8"/>
  <c r="T44" i="8"/>
  <c r="T43" i="8"/>
  <c r="T42" i="8"/>
  <c r="A40" i="8"/>
  <c r="A39" i="8"/>
  <c r="A38" i="8"/>
  <c r="A37" i="8"/>
  <c r="A36" i="8"/>
  <c r="A35" i="8"/>
  <c r="A34" i="8"/>
  <c r="A33" i="8"/>
  <c r="A32" i="8"/>
  <c r="A31" i="8"/>
  <c r="B70" i="6" l="1"/>
  <c r="B5" i="6" l="1"/>
  <c r="B1" i="6"/>
  <c r="D9" i="10"/>
  <c r="D7" i="10"/>
  <c r="D6" i="10"/>
  <c r="B4" i="10"/>
  <c r="B4" i="6" s="1"/>
  <c r="N4" i="2"/>
  <c r="G130" i="2" s="1"/>
  <c r="A1" i="10"/>
  <c r="B7" i="6" l="1"/>
  <c r="Y2" i="8"/>
  <c r="U8" i="8" s="1"/>
  <c r="FC174" i="6"/>
  <c r="FC169" i="6"/>
  <c r="FC170" i="6"/>
  <c r="G158" i="2"/>
  <c r="A158" i="2" s="1"/>
  <c r="G150" i="2"/>
  <c r="A150" i="2" s="1"/>
  <c r="G142" i="2"/>
  <c r="A142" i="2" s="1"/>
  <c r="G165" i="2"/>
  <c r="G157" i="2"/>
  <c r="A157" i="2" s="1"/>
  <c r="G149" i="2"/>
  <c r="A149" i="2" s="1"/>
  <c r="G141" i="2"/>
  <c r="A141" i="2" s="1"/>
  <c r="G170" i="2"/>
  <c r="A170" i="2" s="1"/>
  <c r="G156" i="2"/>
  <c r="A156" i="2" s="1"/>
  <c r="G169" i="2"/>
  <c r="A169" i="2" s="1"/>
  <c r="G155" i="2"/>
  <c r="A155" i="2" s="1"/>
  <c r="G147" i="2"/>
  <c r="A147" i="2" s="1"/>
  <c r="G168" i="2"/>
  <c r="A168" i="2" s="1"/>
  <c r="G154" i="2"/>
  <c r="A154" i="2" s="1"/>
  <c r="G146" i="2"/>
  <c r="A146" i="2" s="1"/>
  <c r="G167" i="2"/>
  <c r="G166" i="2"/>
  <c r="A166" i="2" s="1"/>
  <c r="G145" i="2"/>
  <c r="A145" i="2" s="1"/>
  <c r="G140" i="2"/>
  <c r="A140" i="2" s="1"/>
  <c r="G152" i="2"/>
  <c r="A152" i="2" s="1"/>
  <c r="G144" i="2"/>
  <c r="A144" i="2" s="1"/>
  <c r="A161" i="2"/>
  <c r="G148" i="2"/>
  <c r="A148" i="2" s="1"/>
  <c r="G153" i="2"/>
  <c r="A153" i="2" s="1"/>
  <c r="G159" i="2"/>
  <c r="A159" i="2" s="1"/>
  <c r="G151" i="2"/>
  <c r="A151" i="2" s="1"/>
  <c r="G143" i="2"/>
  <c r="A143" i="2" s="1"/>
  <c r="A162" i="2"/>
  <c r="G128" i="2"/>
  <c r="G129" i="2"/>
  <c r="G136" i="2"/>
  <c r="G135" i="2"/>
  <c r="G131" i="2"/>
  <c r="G134" i="2"/>
  <c r="G133" i="2"/>
  <c r="G132" i="2"/>
  <c r="AD33" i="7"/>
  <c r="AD34" i="7" s="1"/>
  <c r="AE33" i="7"/>
  <c r="AE34" i="7" s="1"/>
  <c r="AF33" i="7"/>
  <c r="AF34" i="7" s="1"/>
  <c r="AG33" i="7"/>
  <c r="AG34" i="7"/>
  <c r="AC34" i="7"/>
  <c r="AC33" i="7"/>
  <c r="U7" i="8" l="1"/>
  <c r="A165" i="2"/>
  <c r="B165" i="2"/>
  <c r="B166" i="2"/>
  <c r="E141" i="2"/>
  <c r="E140" i="2"/>
  <c r="B6" i="6" s="1"/>
  <c r="D47" i="7" s="1"/>
  <c r="A167" i="2"/>
  <c r="B168" i="2"/>
  <c r="B169" i="2"/>
  <c r="B170" i="2"/>
  <c r="B167" i="2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C12" i="9"/>
  <c r="D1" i="9"/>
  <c r="AG59" i="8" l="1"/>
  <c r="AF59" i="8"/>
  <c r="AG58" i="8"/>
  <c r="AF58" i="8"/>
  <c r="AC45" i="8"/>
  <c r="AF44" i="8"/>
  <c r="AE44" i="8"/>
  <c r="AD44" i="8"/>
  <c r="AC44" i="8"/>
  <c r="AF43" i="8"/>
  <c r="AE43" i="8"/>
  <c r="AD43" i="8"/>
  <c r="AC43" i="8"/>
  <c r="AF42" i="8"/>
  <c r="AE42" i="8"/>
  <c r="AD42" i="8"/>
  <c r="AC42" i="8"/>
  <c r="AB42" i="8"/>
  <c r="M25" i="8"/>
  <c r="L25" i="8"/>
  <c r="V23" i="8"/>
  <c r="V22" i="8"/>
  <c r="N22" i="8"/>
  <c r="N21" i="8"/>
  <c r="M21" i="8"/>
  <c r="N20" i="8"/>
  <c r="M20" i="8"/>
  <c r="N19" i="8"/>
  <c r="M19" i="8"/>
  <c r="N18" i="8"/>
  <c r="M18" i="8"/>
  <c r="N17" i="8"/>
  <c r="M17" i="8"/>
  <c r="L17" i="8"/>
  <c r="N16" i="8"/>
  <c r="M16" i="8"/>
  <c r="L16" i="8"/>
  <c r="N15" i="8"/>
  <c r="M15" i="8"/>
  <c r="L15" i="8"/>
  <c r="N14" i="8"/>
  <c r="M14" i="8"/>
  <c r="L14" i="8"/>
  <c r="N13" i="8"/>
  <c r="M13" i="8"/>
  <c r="L13" i="8"/>
  <c r="N12" i="8"/>
  <c r="M12" i="8"/>
  <c r="L12" i="8"/>
  <c r="N11" i="8"/>
  <c r="M11" i="8"/>
  <c r="L11" i="8"/>
  <c r="AA10" i="8"/>
  <c r="N10" i="8"/>
  <c r="M10" i="8"/>
  <c r="L10" i="8"/>
  <c r="N9" i="8"/>
  <c r="M9" i="8"/>
  <c r="L9" i="8"/>
  <c r="AA8" i="8"/>
  <c r="N8" i="8"/>
  <c r="M8" i="8"/>
  <c r="L8" i="8"/>
  <c r="D8" i="8"/>
  <c r="N7" i="8"/>
  <c r="M7" i="8"/>
  <c r="L7" i="8"/>
  <c r="N6" i="8"/>
  <c r="M6" i="8"/>
  <c r="D48" i="7"/>
  <c r="C48" i="7"/>
  <c r="C48" i="2" s="1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D37" i="7"/>
  <c r="DC37" i="7"/>
  <c r="DB37" i="7"/>
  <c r="DA37" i="7"/>
  <c r="CY37" i="7"/>
  <c r="CX37" i="7"/>
  <c r="CW37" i="7"/>
  <c r="CV37" i="7"/>
  <c r="CT37" i="7"/>
  <c r="CS37" i="7"/>
  <c r="CR37" i="7"/>
  <c r="CQ37" i="7"/>
  <c r="CP37" i="7"/>
  <c r="CO37" i="7"/>
  <c r="CN37" i="7"/>
  <c r="CM37" i="7"/>
  <c r="CK37" i="7"/>
  <c r="CJ37" i="7"/>
  <c r="CI37" i="7"/>
  <c r="CH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B37" i="7"/>
  <c r="AA37" i="7"/>
  <c r="Z37" i="7"/>
  <c r="Y37" i="7"/>
  <c r="X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D35" i="7"/>
  <c r="DC35" i="7"/>
  <c r="DB35" i="7"/>
  <c r="DA35" i="7"/>
  <c r="CY35" i="7"/>
  <c r="CX35" i="7"/>
  <c r="CW35" i="7"/>
  <c r="CV35" i="7"/>
  <c r="CT35" i="7"/>
  <c r="CS35" i="7"/>
  <c r="CR35" i="7"/>
  <c r="CQ35" i="7"/>
  <c r="CP35" i="7"/>
  <c r="CO35" i="7"/>
  <c r="CN35" i="7"/>
  <c r="CM35" i="7"/>
  <c r="CK35" i="7"/>
  <c r="CJ35" i="7"/>
  <c r="CI35" i="7"/>
  <c r="CH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EA1" i="7"/>
  <c r="DZ1" i="7"/>
  <c r="DY1" i="7"/>
  <c r="DX1" i="7"/>
  <c r="DW1" i="7"/>
  <c r="DV1" i="7"/>
  <c r="DU1" i="7"/>
  <c r="DT1" i="7"/>
  <c r="DS1" i="7"/>
  <c r="DR1" i="7"/>
  <c r="DQ1" i="7"/>
  <c r="DP1" i="7"/>
  <c r="DO1" i="7"/>
  <c r="DN1" i="7"/>
  <c r="DM1" i="7"/>
  <c r="DL1" i="7"/>
  <c r="DK1" i="7"/>
  <c r="DJ1" i="7"/>
  <c r="DI1" i="7"/>
  <c r="DH1" i="7"/>
  <c r="DG1" i="7"/>
  <c r="DF1" i="7"/>
  <c r="DD1" i="7"/>
  <c r="DC1" i="7"/>
  <c r="DB1" i="7"/>
  <c r="DA1" i="7"/>
  <c r="CY1" i="7"/>
  <c r="CX1" i="7"/>
  <c r="CW1" i="7"/>
  <c r="CV1" i="7"/>
  <c r="CT1" i="7"/>
  <c r="CS1" i="7"/>
  <c r="CR1" i="7"/>
  <c r="CQ1" i="7"/>
  <c r="CP1" i="7"/>
  <c r="CO1" i="7"/>
  <c r="CN1" i="7"/>
  <c r="CM1" i="7"/>
  <c r="CK1" i="7"/>
  <c r="CJ1" i="7"/>
  <c r="CI1" i="7"/>
  <c r="CH1" i="7"/>
  <c r="CF1" i="7"/>
  <c r="CE1" i="7"/>
  <c r="CD1" i="7"/>
  <c r="CC1" i="7"/>
  <c r="CB1" i="7"/>
  <c r="CA1" i="7"/>
  <c r="BZ1" i="7"/>
  <c r="BY1" i="7"/>
  <c r="BX1" i="7"/>
  <c r="BW1" i="7"/>
  <c r="BV1" i="7"/>
  <c r="BU1" i="7"/>
  <c r="BS1" i="7"/>
  <c r="BR1" i="7"/>
  <c r="BQ1" i="7"/>
  <c r="BP1" i="7"/>
  <c r="BO1" i="7"/>
  <c r="BN1" i="7"/>
  <c r="BM1" i="7"/>
  <c r="BL1" i="7"/>
  <c r="BI1" i="7"/>
  <c r="BH1" i="7"/>
  <c r="BG1" i="7"/>
  <c r="BF1" i="7"/>
  <c r="BE1" i="7"/>
  <c r="BD1" i="7"/>
  <c r="BC1" i="7"/>
  <c r="BB1" i="7"/>
  <c r="BA1" i="7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B1" i="7"/>
  <c r="AA1" i="7"/>
  <c r="Z1" i="7"/>
  <c r="Y1" i="7"/>
  <c r="X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B86" i="4"/>
  <c r="B84" i="4"/>
  <c r="B74" i="4"/>
  <c r="G71" i="4"/>
  <c r="E71" i="4"/>
  <c r="F71" i="4" s="1"/>
  <c r="E69" i="4"/>
  <c r="B75" i="4" s="1"/>
  <c r="G66" i="4"/>
  <c r="C64" i="4"/>
  <c r="C6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B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B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AC7" i="4"/>
  <c r="AB7" i="4"/>
  <c r="AA7" i="4"/>
  <c r="Z7" i="4"/>
  <c r="Y7" i="4"/>
  <c r="X7" i="4"/>
  <c r="W7" i="4"/>
  <c r="O7" i="4"/>
  <c r="N7" i="4"/>
  <c r="AC6" i="4"/>
  <c r="AB6" i="4"/>
  <c r="AA6" i="4"/>
  <c r="Z6" i="4"/>
  <c r="Y6" i="4"/>
  <c r="X6" i="4"/>
  <c r="W6" i="4"/>
  <c r="O6" i="4"/>
  <c r="AC5" i="4"/>
  <c r="AB5" i="4"/>
  <c r="AA5" i="4"/>
  <c r="Z5" i="4"/>
  <c r="X5" i="4"/>
  <c r="W5" i="4"/>
  <c r="O5" i="4"/>
  <c r="B2" i="4"/>
  <c r="B103" i="2"/>
  <c r="D85" i="2"/>
  <c r="C85" i="2"/>
  <c r="D84" i="2"/>
  <c r="D83" i="2"/>
  <c r="D82" i="2"/>
  <c r="A55" i="2"/>
  <c r="K54" i="2"/>
  <c r="J54" i="2"/>
  <c r="I54" i="2"/>
  <c r="H54" i="2"/>
  <c r="G54" i="2"/>
  <c r="F54" i="2"/>
  <c r="E54" i="2"/>
  <c r="D54" i="2"/>
  <c r="F53" i="2"/>
  <c r="E53" i="2"/>
  <c r="D53" i="2"/>
  <c r="C53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E38" i="2"/>
  <c r="D38" i="2"/>
  <c r="K37" i="2"/>
  <c r="J37" i="2"/>
  <c r="I37" i="2"/>
  <c r="H37" i="2"/>
  <c r="G37" i="2"/>
  <c r="F37" i="2"/>
  <c r="E37" i="2"/>
  <c r="D37" i="2"/>
  <c r="N35" i="2"/>
  <c r="K35" i="2"/>
  <c r="J35" i="2"/>
  <c r="I35" i="2"/>
  <c r="H35" i="2"/>
  <c r="G35" i="2"/>
  <c r="F35" i="2"/>
  <c r="E35" i="2"/>
  <c r="D35" i="2"/>
  <c r="C35" i="2"/>
  <c r="B35" i="2"/>
  <c r="L4" i="2"/>
  <c r="L5" i="2" s="1"/>
  <c r="L6" i="2" s="1"/>
  <c r="L7" i="2" s="1"/>
  <c r="B14" i="1"/>
  <c r="B11" i="1"/>
  <c r="B10" i="1"/>
  <c r="B9" i="1"/>
  <c r="C42" i="1" s="1"/>
  <c r="B8" i="1"/>
  <c r="C41" i="1" s="1"/>
  <c r="B7" i="1"/>
  <c r="B6" i="1"/>
  <c r="B5" i="1"/>
  <c r="E46" i="3" s="1"/>
  <c r="Z2" i="1"/>
  <c r="A2" i="10" s="1"/>
  <c r="B74" i="3"/>
  <c r="C42" i="3"/>
  <c r="A35" i="3"/>
  <c r="A34" i="3"/>
  <c r="A33" i="3"/>
  <c r="B18" i="3"/>
  <c r="B7" i="3"/>
  <c r="B2" i="9" s="1"/>
  <c r="D6" i="3"/>
  <c r="D5" i="3"/>
  <c r="B1" i="3"/>
  <c r="C1" i="3" s="1"/>
  <c r="FC186" i="6"/>
  <c r="FB186" i="6"/>
  <c r="FA186" i="6"/>
  <c r="FC160" i="6"/>
  <c r="FC147" i="6"/>
  <c r="FB145" i="6"/>
  <c r="FD142" i="6"/>
  <c r="FD141" i="6"/>
  <c r="FD140" i="6"/>
  <c r="FB140" i="6" s="1"/>
  <c r="FD139" i="6"/>
  <c r="FB139" i="6"/>
  <c r="FD136" i="6"/>
  <c r="B104" i="6"/>
  <c r="A104" i="6"/>
  <c r="B103" i="6"/>
  <c r="D103" i="6" s="1"/>
  <c r="A103" i="6"/>
  <c r="B102" i="6"/>
  <c r="D102" i="6" s="1"/>
  <c r="A102" i="6"/>
  <c r="B101" i="6"/>
  <c r="D101" i="6" s="1"/>
  <c r="A101" i="6"/>
  <c r="A100" i="6"/>
  <c r="D83" i="6"/>
  <c r="D8" i="3" s="1"/>
  <c r="A73" i="6"/>
  <c r="A75" i="6" s="1"/>
  <c r="D63" i="6"/>
  <c r="B78" i="3" s="1"/>
  <c r="FB182" i="6" s="1"/>
  <c r="D61" i="6"/>
  <c r="D59" i="6"/>
  <c r="B80" i="3" s="1"/>
  <c r="D57" i="6"/>
  <c r="B65" i="3" s="1"/>
  <c r="E55" i="6"/>
  <c r="E54" i="6"/>
  <c r="A54" i="6"/>
  <c r="E53" i="6"/>
  <c r="D53" i="6"/>
  <c r="B35" i="3" s="1"/>
  <c r="E52" i="6"/>
  <c r="A52" i="6"/>
  <c r="E51" i="6"/>
  <c r="D51" i="6"/>
  <c r="B33" i="3" s="1"/>
  <c r="D44" i="6"/>
  <c r="B6" i="3" s="1"/>
  <c r="C6" i="8" s="1"/>
  <c r="U6" i="8" s="1"/>
  <c r="D39" i="6"/>
  <c r="A37" i="6"/>
  <c r="FA158" i="6" s="1"/>
  <c r="C32" i="6"/>
  <c r="E31" i="6"/>
  <c r="D31" i="6"/>
  <c r="E24" i="3" s="1"/>
  <c r="D30" i="6"/>
  <c r="B31" i="6" s="1"/>
  <c r="E26" i="6"/>
  <c r="D26" i="6"/>
  <c r="C19" i="3" s="1"/>
  <c r="D24" i="6"/>
  <c r="H24" i="3" s="1"/>
  <c r="D23" i="6"/>
  <c r="G24" i="3" s="1"/>
  <c r="D22" i="6"/>
  <c r="I24" i="3" s="1"/>
  <c r="D21" i="6"/>
  <c r="F19" i="3" s="1"/>
  <c r="D20" i="6"/>
  <c r="I19" i="3" s="1"/>
  <c r="D15" i="6"/>
  <c r="D49" i="3" s="1"/>
  <c r="D14" i="6"/>
  <c r="B49" i="3" s="1"/>
  <c r="AB3" i="3" s="1"/>
  <c r="D11" i="6"/>
  <c r="FB147" i="6" s="1"/>
  <c r="EZ1" i="6" l="1"/>
  <c r="A15" i="10" s="1"/>
  <c r="FB141" i="6"/>
  <c r="FB163" i="6"/>
  <c r="C40" i="1"/>
  <c r="M8" i="1"/>
  <c r="C43" i="1"/>
  <c r="M11" i="1"/>
  <c r="M6" i="1"/>
  <c r="B36" i="3"/>
  <c r="FD163" i="6"/>
  <c r="B35" i="1"/>
  <c r="M38" i="1" s="1"/>
  <c r="A74" i="6"/>
  <c r="H71" i="4"/>
  <c r="B79" i="4" s="1"/>
  <c r="B80" i="4" s="1"/>
  <c r="D2" i="4"/>
  <c r="B3" i="3" s="1"/>
  <c r="C3" i="8" s="1"/>
  <c r="B9" i="3"/>
  <c r="B4" i="9" s="1"/>
  <c r="E2" i="4"/>
  <c r="AD41" i="3" s="1"/>
  <c r="AH41" i="3" s="1"/>
  <c r="D52" i="3"/>
  <c r="D63" i="3" s="1"/>
  <c r="D50" i="3"/>
  <c r="FB148" i="6"/>
  <c r="D47" i="6"/>
  <c r="D24" i="3" s="1"/>
  <c r="H47" i="7"/>
  <c r="C47" i="7"/>
  <c r="W3" i="8" s="1"/>
  <c r="E47" i="7"/>
  <c r="F47" i="7"/>
  <c r="G47" i="7"/>
  <c r="D58" i="6" s="1"/>
  <c r="B68" i="3" s="1"/>
  <c r="D45" i="6"/>
  <c r="B24" i="3" s="1"/>
  <c r="D46" i="6"/>
  <c r="C24" i="3" s="1"/>
  <c r="B67" i="6" l="1"/>
  <c r="FD137" i="6" s="1"/>
  <c r="B69" i="6"/>
  <c r="FD138" i="6" s="1"/>
  <c r="FA139" i="6"/>
  <c r="FA184" i="6"/>
  <c r="FC181" i="6"/>
  <c r="FA173" i="6"/>
  <c r="FA134" i="6"/>
  <c r="A26" i="6"/>
  <c r="C18" i="3" s="1"/>
  <c r="FA175" i="6"/>
  <c r="FA136" i="6"/>
  <c r="FA135" i="6" s="1"/>
  <c r="A22" i="6"/>
  <c r="N3" i="2"/>
  <c r="R83" i="2" s="1"/>
  <c r="A31" i="6"/>
  <c r="FC140" i="6"/>
  <c r="A1" i="4"/>
  <c r="B15" i="4" s="1"/>
  <c r="I1" i="3"/>
  <c r="K59" i="3" s="1"/>
  <c r="A59" i="3" s="1"/>
  <c r="FC180" i="6"/>
  <c r="A8" i="6"/>
  <c r="FA168" i="6"/>
  <c r="A30" i="6"/>
  <c r="A35" i="6"/>
  <c r="FC138" i="6"/>
  <c r="FC141" i="6"/>
  <c r="FC167" i="6"/>
  <c r="A19" i="6"/>
  <c r="A6" i="6"/>
  <c r="A14" i="6"/>
  <c r="A39" i="6"/>
  <c r="A18" i="6"/>
  <c r="FA156" i="6" s="1"/>
  <c r="A23" i="6"/>
  <c r="FA180" i="6"/>
  <c r="A93" i="6"/>
  <c r="A24" i="6"/>
  <c r="FA144" i="6"/>
  <c r="A29" i="6"/>
  <c r="FA160" i="6" s="1"/>
  <c r="A47" i="6"/>
  <c r="FC158" i="6" s="1"/>
  <c r="A43" i="6"/>
  <c r="FA152" i="6" s="1"/>
  <c r="FA172" i="6"/>
  <c r="FA161" i="6"/>
  <c r="FB161" i="6" s="1"/>
  <c r="FA148" i="6"/>
  <c r="A25" i="6"/>
  <c r="FA157" i="6" s="1"/>
  <c r="FA167" i="6"/>
  <c r="A9" i="6"/>
  <c r="FA147" i="6"/>
  <c r="FC142" i="6"/>
  <c r="A86" i="6"/>
  <c r="A59" i="6"/>
  <c r="FA151" i="6"/>
  <c r="A38" i="6"/>
  <c r="A66" i="6"/>
  <c r="A53" i="6"/>
  <c r="FA177" i="6"/>
  <c r="FA146" i="6"/>
  <c r="FC137" i="6"/>
  <c r="A12" i="6"/>
  <c r="FA145" i="6"/>
  <c r="A4" i="6"/>
  <c r="A76" i="6"/>
  <c r="A15" i="6"/>
  <c r="A65" i="6"/>
  <c r="A63" i="6"/>
  <c r="FA165" i="6"/>
  <c r="A57" i="6"/>
  <c r="FA159" i="6"/>
  <c r="A67" i="6"/>
  <c r="FA141" i="6"/>
  <c r="A5" i="6"/>
  <c r="A87" i="6"/>
  <c r="A32" i="6"/>
  <c r="FA182" i="6"/>
  <c r="A77" i="6"/>
  <c r="A72" i="6"/>
  <c r="C86" i="6"/>
  <c r="A85" i="6"/>
  <c r="A70" i="6"/>
  <c r="A99" i="6"/>
  <c r="A36" i="6"/>
  <c r="FC157" i="6" s="1"/>
  <c r="FA179" i="6"/>
  <c r="A44" i="6"/>
  <c r="A90" i="6"/>
  <c r="FA174" i="6"/>
  <c r="FC136" i="6"/>
  <c r="A11" i="6"/>
  <c r="A92" i="6"/>
  <c r="A49" i="6"/>
  <c r="FA162" i="6" s="1"/>
  <c r="A62" i="6"/>
  <c r="A58" i="6"/>
  <c r="FA181" i="6" s="1"/>
  <c r="A61" i="6"/>
  <c r="A89" i="6"/>
  <c r="A98" i="6"/>
  <c r="A2" i="6"/>
  <c r="FC159" i="6"/>
  <c r="A91" i="6"/>
  <c r="FA140" i="6"/>
  <c r="A60" i="6"/>
  <c r="A50" i="6"/>
  <c r="FC168" i="6"/>
  <c r="A7" i="6"/>
  <c r="C85" i="6"/>
  <c r="A71" i="6"/>
  <c r="A51" i="6"/>
  <c r="A45" i="6"/>
  <c r="FC182" i="6"/>
  <c r="FC163" i="6"/>
  <c r="A27" i="6"/>
  <c r="H18" i="3" s="1"/>
  <c r="A95" i="6"/>
  <c r="FA188" i="6"/>
  <c r="FC145" i="6"/>
  <c r="A17" i="6"/>
  <c r="FA155" i="6" s="1"/>
  <c r="FC139" i="6"/>
  <c r="A21" i="6"/>
  <c r="A34" i="6"/>
  <c r="D18" i="3" s="1"/>
  <c r="A41" i="6"/>
  <c r="A46" i="6"/>
  <c r="A56" i="6"/>
  <c r="A79" i="6"/>
  <c r="A3" i="6"/>
  <c r="FA150" i="6"/>
  <c r="FA170" i="6"/>
  <c r="FA169" i="6"/>
  <c r="C6" i="6"/>
  <c r="C5" i="6"/>
  <c r="E7" i="6"/>
  <c r="A128" i="2"/>
  <c r="A4" i="10" s="1"/>
  <c r="A136" i="2"/>
  <c r="A13" i="10" s="1"/>
  <c r="A135" i="2"/>
  <c r="A12" i="10" s="1"/>
  <c r="A129" i="2"/>
  <c r="A6" i="10" s="1"/>
  <c r="A130" i="2"/>
  <c r="A7" i="10" s="1"/>
  <c r="A131" i="2"/>
  <c r="A8" i="10" s="1"/>
  <c r="A132" i="2"/>
  <c r="A9" i="10" s="1"/>
  <c r="A134" i="2"/>
  <c r="A11" i="10" s="1"/>
  <c r="A133" i="2"/>
  <c r="A10" i="10" s="1"/>
  <c r="O89" i="2"/>
  <c r="C38" i="6"/>
  <c r="D38" i="6" s="1"/>
  <c r="D41" i="6" s="1"/>
  <c r="B29" i="3" s="1"/>
  <c r="AK41" i="3"/>
  <c r="E41" i="3" s="1"/>
  <c r="D4" i="6"/>
  <c r="FD147" i="6" s="1"/>
  <c r="B41" i="4"/>
  <c r="B42" i="4" s="1"/>
  <c r="B113" i="2" s="1"/>
  <c r="C8" i="3"/>
  <c r="B8" i="3" s="1"/>
  <c r="G25" i="3" s="1"/>
  <c r="G26" i="3" s="1"/>
  <c r="C35" i="1"/>
  <c r="D7" i="8"/>
  <c r="AA9" i="8"/>
  <c r="AA11" i="8" s="1"/>
  <c r="D6" i="8"/>
  <c r="U3" i="8"/>
  <c r="T56" i="8" s="1"/>
  <c r="B15" i="8"/>
  <c r="AA13" i="8"/>
  <c r="AE41" i="3"/>
  <c r="E38" i="3" s="1"/>
  <c r="AF41" i="3"/>
  <c r="E40" i="3" s="1"/>
  <c r="AJ41" i="3"/>
  <c r="AI41" i="3"/>
  <c r="A36" i="3" s="1"/>
  <c r="AG41" i="3"/>
  <c r="E39" i="3" s="1"/>
  <c r="A40" i="6"/>
  <c r="D32" i="6"/>
  <c r="F24" i="3" s="1"/>
  <c r="A28" i="6"/>
  <c r="C49" i="7"/>
  <c r="B58" i="6"/>
  <c r="C67" i="6" l="1"/>
  <c r="B2" i="1"/>
  <c r="C38" i="1" s="1"/>
  <c r="A106" i="2"/>
  <c r="R38" i="2"/>
  <c r="N38" i="2" s="1"/>
  <c r="G127" i="2"/>
  <c r="A127" i="2" s="1"/>
  <c r="N59" i="2"/>
  <c r="R59" i="2"/>
  <c r="A59" i="2" s="1"/>
  <c r="R39" i="2"/>
  <c r="A39" i="2" s="1"/>
  <c r="R36" i="2"/>
  <c r="A36" i="2" s="1"/>
  <c r="K96" i="2"/>
  <c r="A96" i="2" s="1"/>
  <c r="R88" i="2"/>
  <c r="N88" i="2" s="1"/>
  <c r="R45" i="2"/>
  <c r="N45" i="2" s="1"/>
  <c r="O10" i="2"/>
  <c r="A10" i="2" s="1"/>
  <c r="R73" i="2"/>
  <c r="A73" i="2" s="1"/>
  <c r="O2" i="2"/>
  <c r="A2" i="2" s="1"/>
  <c r="G123" i="2"/>
  <c r="A123" i="2" s="1"/>
  <c r="A83" i="6" s="1"/>
  <c r="R92" i="2"/>
  <c r="E90" i="2" s="1"/>
  <c r="R46" i="2"/>
  <c r="N46" i="2" s="1"/>
  <c r="O12" i="2"/>
  <c r="A12" i="2" s="1"/>
  <c r="A107" i="2"/>
  <c r="O16" i="2"/>
  <c r="A16" i="2" s="1"/>
  <c r="O4" i="2"/>
  <c r="A4" i="2" s="1"/>
  <c r="O5" i="2"/>
  <c r="A5" i="2" s="1"/>
  <c r="R93" i="2"/>
  <c r="E91" i="2" s="1"/>
  <c r="R113" i="2"/>
  <c r="A113" i="2" s="1"/>
  <c r="G108" i="2"/>
  <c r="A23" i="2"/>
  <c r="R41" i="2"/>
  <c r="N41" i="2" s="1"/>
  <c r="R112" i="2"/>
  <c r="A112" i="2" s="1"/>
  <c r="R58" i="2"/>
  <c r="A58" i="2" s="1"/>
  <c r="R82" i="2"/>
  <c r="B81" i="2" s="1"/>
  <c r="A104" i="2"/>
  <c r="R52" i="2"/>
  <c r="A52" i="2" s="1"/>
  <c r="O14" i="2"/>
  <c r="A14" i="2" s="1"/>
  <c r="R40" i="2"/>
  <c r="A40" i="2" s="1"/>
  <c r="R56" i="2"/>
  <c r="A56" i="2" s="1"/>
  <c r="R87" i="2"/>
  <c r="E88" i="2" s="1"/>
  <c r="G121" i="2"/>
  <c r="A121" i="2" s="1"/>
  <c r="A81" i="6" s="1"/>
  <c r="R63" i="2"/>
  <c r="A63" i="2" s="1"/>
  <c r="O18" i="2"/>
  <c r="A18" i="2" s="1"/>
  <c r="D4" i="2"/>
  <c r="N60" i="2"/>
  <c r="G120" i="2"/>
  <c r="A120" i="2" s="1"/>
  <c r="A80" i="6" s="1"/>
  <c r="R53" i="2"/>
  <c r="N53" i="2" s="1"/>
  <c r="G105" i="2"/>
  <c r="R94" i="2"/>
  <c r="N89" i="2" s="1"/>
  <c r="K3" i="3"/>
  <c r="A3" i="3" s="1"/>
  <c r="K30" i="3"/>
  <c r="A30" i="3" s="1"/>
  <c r="K86" i="3"/>
  <c r="A86" i="3" s="1"/>
  <c r="K4" i="3"/>
  <c r="C5" i="3" s="1"/>
  <c r="K1" i="3"/>
  <c r="A1" i="3" s="1"/>
  <c r="K44" i="3"/>
  <c r="A44" i="3" s="1"/>
  <c r="K49" i="3"/>
  <c r="A49" i="3" s="1"/>
  <c r="K32" i="3"/>
  <c r="G23" i="3" s="1"/>
  <c r="K57" i="3"/>
  <c r="A57" i="3" s="1"/>
  <c r="K11" i="3"/>
  <c r="A11" i="3" s="1"/>
  <c r="K69" i="3"/>
  <c r="A69" i="3" s="1"/>
  <c r="K13" i="3"/>
  <c r="T55" i="3"/>
  <c r="F54" i="3" s="1"/>
  <c r="C10" i="4" s="1"/>
  <c r="K61" i="3"/>
  <c r="A61" i="3" s="1"/>
  <c r="K74" i="3"/>
  <c r="A74" i="3" s="1"/>
  <c r="K31" i="3"/>
  <c r="A31" i="3" s="1"/>
  <c r="K7" i="3"/>
  <c r="A7" i="3" s="1"/>
  <c r="A2" i="9" s="1"/>
  <c r="K71" i="3"/>
  <c r="A71" i="3" s="1"/>
  <c r="K87" i="3"/>
  <c r="A87" i="3" s="1"/>
  <c r="K53" i="3"/>
  <c r="C50" i="3" s="1"/>
  <c r="K81" i="3"/>
  <c r="A81" i="3" s="1"/>
  <c r="K19" i="3"/>
  <c r="A19" i="3" s="1"/>
  <c r="K45" i="3"/>
  <c r="A45" i="3" s="1"/>
  <c r="K5" i="3"/>
  <c r="A5" i="3" s="1"/>
  <c r="K62" i="3"/>
  <c r="C57" i="3" s="1"/>
  <c r="K21" i="3"/>
  <c r="A21" i="3" s="1"/>
  <c r="T56" i="3"/>
  <c r="G54" i="3" s="1"/>
  <c r="D10" i="4" s="1"/>
  <c r="K54" i="3"/>
  <c r="A54" i="3" s="1"/>
  <c r="K16" i="3"/>
  <c r="A16" i="3" s="1"/>
  <c r="K29" i="3"/>
  <c r="A29" i="3" s="1"/>
  <c r="K27" i="3"/>
  <c r="F23" i="3" s="1"/>
  <c r="K72" i="3"/>
  <c r="A72" i="3" s="1"/>
  <c r="K2" i="3"/>
  <c r="A2" i="3" s="1"/>
  <c r="T54" i="3"/>
  <c r="F53" i="3" s="1"/>
  <c r="C9" i="4" s="1"/>
  <c r="K9" i="3"/>
  <c r="A9" i="3" s="1"/>
  <c r="A4" i="9" s="1"/>
  <c r="K77" i="3"/>
  <c r="A77" i="3" s="1"/>
  <c r="D3" i="2"/>
  <c r="R91" i="2"/>
  <c r="E89" i="2" s="1"/>
  <c r="O6" i="2"/>
  <c r="A6" i="2" s="1"/>
  <c r="O15" i="2"/>
  <c r="A15" i="2" s="1"/>
  <c r="R89" i="2"/>
  <c r="A90" i="2" s="1"/>
  <c r="N26" i="2"/>
  <c r="E27" i="6" s="1"/>
  <c r="A27" i="2"/>
  <c r="B9" i="6" s="1"/>
  <c r="G104" i="2"/>
  <c r="R84" i="2"/>
  <c r="D81" i="2" s="1"/>
  <c r="R42" i="2"/>
  <c r="N42" i="2" s="1"/>
  <c r="R37" i="2"/>
  <c r="N37" i="2" s="1"/>
  <c r="O3" i="2"/>
  <c r="A3" i="2" s="1"/>
  <c r="N3" i="1"/>
  <c r="R95" i="2"/>
  <c r="N90" i="2" s="1"/>
  <c r="R43" i="2"/>
  <c r="A43" i="2" s="1"/>
  <c r="K95" i="2"/>
  <c r="A95" i="2" s="1"/>
  <c r="N61" i="2"/>
  <c r="R44" i="2"/>
  <c r="N44" i="2" s="1"/>
  <c r="O13" i="2"/>
  <c r="A13" i="2" s="1"/>
  <c r="R90" i="2"/>
  <c r="A91" i="2" s="1"/>
  <c r="K94" i="2"/>
  <c r="A94" i="2" s="1"/>
  <c r="R54" i="2"/>
  <c r="A54" i="2" s="1"/>
  <c r="G103" i="2"/>
  <c r="A22" i="2"/>
  <c r="R51" i="2"/>
  <c r="A51" i="2" s="1"/>
  <c r="R48" i="2"/>
  <c r="N48" i="2" s="1"/>
  <c r="A108" i="2"/>
  <c r="R79" i="2"/>
  <c r="A79" i="2" s="1"/>
  <c r="R49" i="2"/>
  <c r="N49" i="2" s="1"/>
  <c r="O17" i="2"/>
  <c r="A17" i="2" s="1"/>
  <c r="A100" i="2"/>
  <c r="A101" i="2"/>
  <c r="R81" i="2"/>
  <c r="A81" i="2" s="1"/>
  <c r="R35" i="2"/>
  <c r="A35" i="2" s="1"/>
  <c r="A26" i="2"/>
  <c r="R86" i="2"/>
  <c r="A88" i="2" s="1"/>
  <c r="R74" i="2"/>
  <c r="B73" i="2" s="1"/>
  <c r="G126" i="2"/>
  <c r="A126" i="2" s="1"/>
  <c r="K93" i="2"/>
  <c r="A93" i="2" s="1"/>
  <c r="R57" i="2"/>
  <c r="A57" i="2" s="1"/>
  <c r="D27" i="6" s="1"/>
  <c r="H19" i="3" s="1"/>
  <c r="H20" i="3" s="1"/>
  <c r="H21" i="3" s="1"/>
  <c r="R47" i="2"/>
  <c r="N47" i="2" s="1"/>
  <c r="G122" i="2"/>
  <c r="A122" i="2" s="1"/>
  <c r="A82" i="6" s="1"/>
  <c r="O7" i="2"/>
  <c r="A7" i="2" s="1"/>
  <c r="G106" i="2"/>
  <c r="K28" i="3"/>
  <c r="A28" i="3" s="1"/>
  <c r="K78" i="3"/>
  <c r="A78" i="3" s="1"/>
  <c r="K38" i="3"/>
  <c r="A38" i="3" s="1"/>
  <c r="A1" i="9" s="1"/>
  <c r="K43" i="3"/>
  <c r="A43" i="3" s="1"/>
  <c r="K10" i="3"/>
  <c r="A10" i="3" s="1"/>
  <c r="K25" i="3"/>
  <c r="A25" i="3" s="1"/>
  <c r="K42" i="3"/>
  <c r="A42" i="3" s="1"/>
  <c r="K51" i="3"/>
  <c r="A51" i="3" s="1"/>
  <c r="K24" i="3"/>
  <c r="A24" i="3" s="1"/>
  <c r="K83" i="3"/>
  <c r="A83" i="3" s="1"/>
  <c r="K8" i="3"/>
  <c r="A8" i="3" s="1"/>
  <c r="A3" i="9" s="1"/>
  <c r="K6" i="3"/>
  <c r="A6" i="3" s="1"/>
  <c r="K46" i="3"/>
  <c r="A46" i="3" s="1"/>
  <c r="K65" i="3"/>
  <c r="A65" i="3" s="1"/>
  <c r="K60" i="3"/>
  <c r="A60" i="3" s="1"/>
  <c r="K37" i="3"/>
  <c r="H23" i="3" s="1"/>
  <c r="K18" i="3"/>
  <c r="A18" i="3" s="1"/>
  <c r="K22" i="3"/>
  <c r="E23" i="3" s="1"/>
  <c r="K17" i="3"/>
  <c r="E18" i="3" s="1"/>
  <c r="K80" i="3"/>
  <c r="A80" i="3" s="1"/>
  <c r="K12" i="3"/>
  <c r="A12" i="3" s="1"/>
  <c r="K66" i="3"/>
  <c r="A66" i="3" s="1"/>
  <c r="K26" i="3"/>
  <c r="A26" i="3" s="1"/>
  <c r="K40" i="3"/>
  <c r="A40" i="3" s="1"/>
  <c r="T53" i="3"/>
  <c r="E53" i="3" s="1"/>
  <c r="B9" i="4" s="1"/>
  <c r="K56" i="3"/>
  <c r="C52" i="3" s="1"/>
  <c r="K15" i="3"/>
  <c r="A15" i="3" s="1"/>
  <c r="K41" i="3"/>
  <c r="D46" i="3" s="1"/>
  <c r="K20" i="3"/>
  <c r="A20" i="3" s="1"/>
  <c r="K58" i="3"/>
  <c r="A58" i="3" s="1"/>
  <c r="K48" i="3"/>
  <c r="C49" i="3" s="1"/>
  <c r="K55" i="3"/>
  <c r="E52" i="3" s="1"/>
  <c r="K64" i="3"/>
  <c r="C63" i="3" s="1"/>
  <c r="K23" i="3"/>
  <c r="A23" i="3" s="1"/>
  <c r="K50" i="3"/>
  <c r="A50" i="3" s="1"/>
  <c r="K52" i="3"/>
  <c r="A52" i="3" s="1"/>
  <c r="K68" i="3"/>
  <c r="A68" i="3" s="1"/>
  <c r="K63" i="3"/>
  <c r="A63" i="3" s="1"/>
  <c r="K14" i="3"/>
  <c r="A14" i="3" s="1"/>
  <c r="K75" i="3"/>
  <c r="A75" i="3" s="1"/>
  <c r="K39" i="3"/>
  <c r="A39" i="3" s="1"/>
  <c r="R50" i="2"/>
  <c r="N50" i="2" s="1"/>
  <c r="B14" i="4"/>
  <c r="FC156" i="6"/>
  <c r="D36" i="6"/>
  <c r="E19" i="3" s="1"/>
  <c r="E20" i="3" s="1"/>
  <c r="FD157" i="6" s="1"/>
  <c r="U12" i="8"/>
  <c r="B3" i="9"/>
  <c r="B75" i="3"/>
  <c r="FD181" i="6" s="1"/>
  <c r="C25" i="3"/>
  <c r="FD159" i="6" s="1"/>
  <c r="B81" i="3"/>
  <c r="FD182" i="6" s="1"/>
  <c r="C9" i="8"/>
  <c r="U14" i="8" s="1"/>
  <c r="V6" i="8" s="1"/>
  <c r="H25" i="3"/>
  <c r="H26" i="3" s="1"/>
  <c r="D25" i="3"/>
  <c r="D26" i="3" s="1"/>
  <c r="E6" i="3"/>
  <c r="FB152" i="6" s="1"/>
  <c r="C20" i="3"/>
  <c r="C21" i="3" s="1"/>
  <c r="F20" i="3"/>
  <c r="F21" i="3" s="1"/>
  <c r="B66" i="3"/>
  <c r="FB180" i="6" s="1"/>
  <c r="B69" i="3"/>
  <c r="FB181" i="6" s="1"/>
  <c r="E25" i="3"/>
  <c r="E26" i="3" s="1"/>
  <c r="F25" i="3"/>
  <c r="F26" i="3" s="1"/>
  <c r="B50" i="3"/>
  <c r="B51" i="3" s="1"/>
  <c r="B52" i="3" s="1"/>
  <c r="B63" i="3" s="1"/>
  <c r="FB175" i="6" s="1"/>
  <c r="I20" i="3"/>
  <c r="I21" i="3" s="1"/>
  <c r="B25" i="3"/>
  <c r="FB159" i="6" s="1"/>
  <c r="B30" i="3"/>
  <c r="FB158" i="6" s="1"/>
  <c r="I25" i="3"/>
  <c r="I26" i="3" s="1"/>
  <c r="U11" i="8"/>
  <c r="B12" i="6"/>
  <c r="E41" i="6"/>
  <c r="FA153" i="6" l="1"/>
  <c r="B14" i="3"/>
  <c r="FC146" i="6"/>
  <c r="C9" i="6"/>
  <c r="A38" i="2"/>
  <c r="C165" i="2"/>
  <c r="C166" i="2"/>
  <c r="M166" i="2" s="1"/>
  <c r="B68" i="6" s="1"/>
  <c r="FA137" i="6" s="1"/>
  <c r="M165" i="2"/>
  <c r="B66" i="6" s="1"/>
  <c r="A48" i="2"/>
  <c r="U13" i="8"/>
  <c r="N40" i="2"/>
  <c r="A46" i="2"/>
  <c r="N39" i="2"/>
  <c r="A45" i="2"/>
  <c r="M14" i="1"/>
  <c r="A41" i="2"/>
  <c r="A53" i="2"/>
  <c r="N52" i="2"/>
  <c r="C103" i="2"/>
  <c r="F62" i="4" s="1"/>
  <c r="F64" i="4" s="1"/>
  <c r="N54" i="2"/>
  <c r="A49" i="2"/>
  <c r="A37" i="2"/>
  <c r="D103" i="2"/>
  <c r="F63" i="4" s="1"/>
  <c r="C65" i="4" s="1"/>
  <c r="A42" i="2"/>
  <c r="A44" i="2"/>
  <c r="N43" i="2"/>
  <c r="A47" i="2"/>
  <c r="N51" i="2"/>
  <c r="A50" i="2"/>
  <c r="A55" i="3"/>
  <c r="V7" i="8"/>
  <c r="C26" i="3"/>
  <c r="E21" i="3"/>
  <c r="V5" i="8"/>
  <c r="E30" i="3"/>
  <c r="FD160" i="6" s="1"/>
  <c r="W8" i="8"/>
  <c r="FB173" i="6"/>
  <c r="FD158" i="6"/>
  <c r="B31" i="3"/>
  <c r="B26" i="3"/>
  <c r="O35" i="2"/>
  <c r="D19" i="6"/>
  <c r="A15" i="1" l="1"/>
  <c r="B45" i="1"/>
  <c r="B1" i="1"/>
  <c r="FB136" i="6"/>
  <c r="C66" i="6"/>
  <c r="G64" i="4"/>
  <c r="C66" i="4" s="1"/>
  <c r="B76" i="4" s="1"/>
  <c r="B81" i="4" s="1"/>
  <c r="B82" i="4" s="1"/>
  <c r="B85" i="4" s="1"/>
  <c r="D35" i="6"/>
  <c r="D19" i="3" s="1"/>
  <c r="D20" i="3" s="1"/>
  <c r="D60" i="6"/>
  <c r="B71" i="3" s="1"/>
  <c r="B72" i="3" s="1"/>
  <c r="FD180" i="6" s="1"/>
  <c r="A20" i="6"/>
  <c r="E60" i="6"/>
  <c r="B19" i="3"/>
  <c r="B20" i="3" s="1"/>
  <c r="C46" i="3" l="1"/>
  <c r="E8" i="4"/>
  <c r="M1" i="1"/>
  <c r="D21" i="3"/>
  <c r="FD156" i="6"/>
  <c r="E28" i="3"/>
  <c r="FB156" i="6" s="1"/>
  <c r="B21" i="3"/>
  <c r="D81" i="3"/>
  <c r="A69" i="6" l="1"/>
  <c r="A3" i="1"/>
  <c r="C36" i="1"/>
  <c r="B3" i="1"/>
  <c r="B4" i="1"/>
  <c r="M4" i="1" s="1"/>
  <c r="C68" i="6"/>
  <c r="C37" i="1"/>
  <c r="A68" i="6"/>
  <c r="A4" i="1"/>
  <c r="C69" i="6"/>
  <c r="C4" i="1" l="1"/>
  <c r="H4" i="1" s="1"/>
  <c r="C3" i="1"/>
  <c r="H3" i="1" s="1"/>
  <c r="C47" i="3"/>
  <c r="M3" i="1"/>
  <c r="B15" i="1"/>
  <c r="D15" i="1" s="1"/>
  <c r="FD169" i="6" s="1"/>
  <c r="H5" i="1" l="1"/>
  <c r="C33" i="1"/>
  <c r="C32" i="1"/>
  <c r="C34" i="1"/>
  <c r="C31" i="1"/>
  <c r="C39" i="1"/>
  <c r="C15" i="1"/>
  <c r="C52" i="1" l="1"/>
  <c r="E15" i="1"/>
  <c r="FD170" i="6" s="1"/>
  <c r="F15" i="1" l="1"/>
  <c r="C45" i="1"/>
  <c r="B59" i="3" s="1"/>
  <c r="FB170" i="6" l="1"/>
  <c r="FB169" i="6"/>
  <c r="C7" i="6"/>
  <c r="B3" i="4"/>
  <c r="C3" i="4" s="1"/>
  <c r="C4" i="4" s="1"/>
  <c r="D7" i="6" s="1"/>
  <c r="D28" i="6"/>
  <c r="G19" i="3" s="1"/>
  <c r="G20" i="3" s="1"/>
  <c r="FB146" i="6" l="1"/>
  <c r="B8" i="6"/>
  <c r="B90" i="6" s="1"/>
  <c r="B91" i="6" s="1"/>
  <c r="E29" i="3"/>
  <c r="FB157" i="6" s="1"/>
  <c r="G21" i="3"/>
  <c r="E15" i="4" l="1"/>
  <c r="FD145" i="6"/>
  <c r="E14" i="4"/>
  <c r="D14" i="4"/>
  <c r="D8" i="6"/>
  <c r="B5" i="3" s="1"/>
  <c r="E5" i="3" s="1"/>
  <c r="FB151" i="6" s="1"/>
  <c r="D15" i="4"/>
  <c r="B92" i="6"/>
  <c r="B93" i="6"/>
  <c r="B17" i="4" l="1"/>
  <c r="D9" i="6" s="1"/>
  <c r="B15" i="3" s="1"/>
  <c r="B87" i="3"/>
  <c r="B86" i="3"/>
  <c r="C10" i="3"/>
  <c r="B10" i="3"/>
  <c r="C4" i="8"/>
  <c r="U4" i="8" s="1"/>
  <c r="FD146" i="6" l="1"/>
  <c r="C5" i="8"/>
  <c r="B16" i="3"/>
  <c r="FB153" i="6" s="1"/>
  <c r="B12" i="3"/>
  <c r="B39" i="3"/>
  <c r="F39" i="3" s="1"/>
  <c r="B40" i="3"/>
  <c r="C40" i="3" s="1"/>
  <c r="B11" i="3"/>
  <c r="D4" i="8"/>
  <c r="N25" i="8"/>
  <c r="U10" i="8"/>
  <c r="W11" i="8" s="1"/>
  <c r="W12" i="8" s="1"/>
  <c r="T55" i="8"/>
  <c r="T57" i="8" s="1"/>
  <c r="U57" i="8" s="1"/>
  <c r="V4" i="8"/>
  <c r="W7" i="8" s="1"/>
  <c r="B43" i="3" l="1"/>
  <c r="FB168" i="6" s="1"/>
  <c r="FD168" i="6"/>
  <c r="B38" i="3"/>
  <c r="F38" i="3" s="1"/>
  <c r="D5" i="8"/>
  <c r="C11" i="8" s="1"/>
  <c r="C14" i="8" s="1"/>
  <c r="U5" i="8"/>
  <c r="B42" i="3"/>
  <c r="B44" i="3" s="1"/>
  <c r="FD167" i="6"/>
  <c r="F40" i="3"/>
  <c r="F41" i="3"/>
  <c r="U17" i="8"/>
  <c r="U18" i="8"/>
  <c r="W16" i="8"/>
  <c r="Y7" i="8"/>
  <c r="D5" i="9" l="1"/>
  <c r="B54" i="3"/>
  <c r="B1" i="9"/>
  <c r="B6" i="9" s="1"/>
  <c r="FB165" i="6"/>
  <c r="F44" i="3"/>
  <c r="FB167" i="6" s="1"/>
  <c r="U19" i="8"/>
  <c r="U20" i="8" s="1"/>
  <c r="B87" i="6" s="1"/>
  <c r="B13" i="10" s="1"/>
  <c r="W17" i="8"/>
  <c r="W19" i="8" s="1"/>
  <c r="W18" i="8"/>
  <c r="J18" i="9" l="1"/>
  <c r="I18" i="9"/>
  <c r="C18" i="9" s="1"/>
  <c r="I16" i="9"/>
  <c r="J17" i="9"/>
  <c r="D17" i="9"/>
  <c r="E18" i="9"/>
  <c r="E16" i="9"/>
  <c r="D18" i="9"/>
  <c r="B18" i="9" s="1"/>
  <c r="D16" i="9"/>
  <c r="I17" i="9"/>
  <c r="E17" i="9"/>
  <c r="J16" i="9"/>
  <c r="E15" i="9"/>
  <c r="J15" i="9"/>
  <c r="D15" i="9"/>
  <c r="I15" i="9"/>
  <c r="E11" i="4"/>
  <c r="D11" i="4" s="1"/>
  <c r="B55" i="3" s="1"/>
  <c r="FB177" i="6" s="1"/>
  <c r="E55" i="3"/>
  <c r="F55" i="3"/>
  <c r="B11" i="4"/>
  <c r="H55" i="3"/>
  <c r="G55" i="3" s="1"/>
  <c r="C11" i="4"/>
  <c r="I13" i="9"/>
  <c r="D12" i="9"/>
  <c r="I14" i="9"/>
  <c r="E12" i="9"/>
  <c r="J14" i="9"/>
  <c r="D13" i="9"/>
  <c r="J13" i="9"/>
  <c r="F12" i="9"/>
  <c r="E13" i="9"/>
  <c r="D14" i="9"/>
  <c r="E14" i="9"/>
  <c r="W20" i="8"/>
  <c r="B16" i="9" l="1"/>
  <c r="C17" i="9"/>
  <c r="B17" i="9"/>
  <c r="C16" i="9"/>
  <c r="B15" i="9"/>
  <c r="C15" i="9"/>
  <c r="B13" i="9"/>
  <c r="B14" i="9"/>
  <c r="C14" i="9"/>
  <c r="B12" i="9"/>
  <c r="C13" i="9"/>
  <c r="B8" i="9" l="1"/>
  <c r="C8" i="9" s="1"/>
  <c r="B7" i="9"/>
  <c r="C7" i="9" s="1"/>
  <c r="D7" i="9" l="1"/>
  <c r="D8" i="9" s="1"/>
  <c r="B45" i="3"/>
  <c r="B46" i="3" s="1"/>
  <c r="B17" i="1" l="1"/>
  <c r="B44" i="1" s="1"/>
  <c r="D57" i="3"/>
  <c r="B58" i="3" l="1"/>
  <c r="FB172" i="6"/>
  <c r="A44" i="8"/>
  <c r="B44" i="8" s="1"/>
  <c r="B17" i="8" s="1"/>
  <c r="C17" i="8" s="1"/>
  <c r="C20" i="8" s="1"/>
  <c r="B86" i="6" s="1"/>
  <c r="B12" i="10" s="1"/>
  <c r="C44" i="1"/>
  <c r="C46" i="1" s="1"/>
  <c r="C49" i="1" s="1"/>
  <c r="B18" i="1"/>
  <c r="B19" i="1" s="1"/>
  <c r="B21" i="1" l="1"/>
  <c r="C20" i="1" l="1"/>
  <c r="C21" i="1" s="1"/>
  <c r="C27" i="1"/>
  <c r="C26" i="1"/>
  <c r="C24" i="1"/>
  <c r="C25" i="1"/>
  <c r="D27" i="1" l="1"/>
  <c r="D26" i="1"/>
  <c r="D25" i="1"/>
  <c r="D24" i="1"/>
  <c r="C28" i="1"/>
  <c r="C48" i="1" s="1"/>
  <c r="C50" i="1" s="1"/>
  <c r="C51" i="1" s="1"/>
  <c r="B57" i="3" s="1"/>
  <c r="B61" i="3" s="1"/>
  <c r="FB174" i="6" s="1"/>
  <c r="B83" i="3" l="1"/>
  <c r="FC184" i="6" s="1"/>
  <c r="D28" i="1"/>
  <c r="B85" i="6" l="1"/>
  <c r="B11" i="10" s="1"/>
</calcChain>
</file>

<file path=xl/sharedStrings.xml><?xml version="1.0" encoding="utf-8"?>
<sst xmlns="http://schemas.openxmlformats.org/spreadsheetml/2006/main" count="868" uniqueCount="680">
  <si>
    <t>belastbare wedde</t>
  </si>
  <si>
    <t>Basisbelasting</t>
  </si>
  <si>
    <t>Bruto jaarinkomen</t>
  </si>
  <si>
    <t>forfaitaire beroepskost</t>
  </si>
  <si>
    <t>totaal belasting</t>
  </si>
  <si>
    <t>Belastingsvermindering</t>
  </si>
  <si>
    <t>alleenstaande</t>
  </si>
  <si>
    <t>alleenstaande of gehuwd, echtg met beroepsink</t>
  </si>
  <si>
    <t>z ink</t>
  </si>
  <si>
    <t>Kinderen ten laste</t>
  </si>
  <si>
    <t>kinderen ten laste</t>
  </si>
  <si>
    <t>U bent</t>
  </si>
  <si>
    <t>fiscale toestand</t>
  </si>
  <si>
    <t>Bent u mindervalide</t>
  </si>
  <si>
    <t>inkomsten partner</t>
  </si>
  <si>
    <t>Partner heeft GEEN persoonlijke inkomsten</t>
  </si>
  <si>
    <t>alleenstaande ouder</t>
  </si>
  <si>
    <t>PL Mindervalide</t>
  </si>
  <si>
    <t>Partner Mindervalide</t>
  </si>
  <si>
    <t/>
  </si>
  <si>
    <t>Hoeveel kinderen heeft u ten laste?</t>
  </si>
  <si>
    <t>Hoeveel van deze kinderen zijn mindervalide?</t>
  </si>
  <si>
    <t>Hoeveel personen ouder dan 65 jaar heeft u ten laste?</t>
  </si>
  <si>
    <t>Hoeveel andere personen heeft u ten laste?</t>
  </si>
  <si>
    <t>Hoeveel van deze personen ouder dan 65 jaar zijn mindervalide?</t>
  </si>
  <si>
    <t>Hoeveel van deze andere personen zijn mindervalide?</t>
  </si>
  <si>
    <t>anderen ten laste</t>
  </si>
  <si>
    <t>totaal verminderingen</t>
  </si>
  <si>
    <t>totaal vermindering</t>
  </si>
  <si>
    <t>verschuldigde belasting</t>
  </si>
  <si>
    <t>verschuldigde belasting / maand</t>
  </si>
  <si>
    <t>statutair personeelslid laag inkomen</t>
  </si>
  <si>
    <t>contractueel personeelslid met werkbonus</t>
  </si>
  <si>
    <t>tewerkstelling</t>
  </si>
  <si>
    <t>bent u statutair of contractueel?</t>
  </si>
  <si>
    <t>belastbare netto Jaarwedde</t>
  </si>
  <si>
    <t>Vermindering werkbonus</t>
  </si>
  <si>
    <t xml:space="preserve">simulatie voor </t>
  </si>
  <si>
    <t>stamnummer</t>
  </si>
  <si>
    <t>jaarwedde</t>
  </si>
  <si>
    <t>% tewerkstelling</t>
  </si>
  <si>
    <t>aantal gewerkte dagen</t>
  </si>
  <si>
    <t>aantal werkdagen/maand</t>
  </si>
  <si>
    <t>bruto maandwedde</t>
  </si>
  <si>
    <t>ZIV wedde</t>
  </si>
  <si>
    <t>FOP wedde</t>
  </si>
  <si>
    <t>bedrag toelage</t>
  </si>
  <si>
    <t>maandbedrag</t>
  </si>
  <si>
    <t xml:space="preserve">ZIV op toelage </t>
  </si>
  <si>
    <t>Toelage tweetaligheid</t>
  </si>
  <si>
    <t>Belastbare wedde</t>
  </si>
  <si>
    <t>Toelage VVW</t>
  </si>
  <si>
    <t>maandtoelage</t>
  </si>
  <si>
    <t>ZIV op toelage VVW</t>
  </si>
  <si>
    <t>belastbare toelage VVW</t>
  </si>
  <si>
    <t>BBSZ</t>
  </si>
  <si>
    <t>Basis BBSZ</t>
  </si>
  <si>
    <t>bedrijfsvoorheffing wedde</t>
  </si>
  <si>
    <t>vermindering 3</t>
  </si>
  <si>
    <t>aangerekende BV wedde</t>
  </si>
  <si>
    <t>telefoonvergoeding</t>
  </si>
  <si>
    <t>uniformvergoeding</t>
  </si>
  <si>
    <t>netto</t>
  </si>
  <si>
    <t>mandaat</t>
  </si>
  <si>
    <t xml:space="preserve">Type: </t>
  </si>
  <si>
    <t>Totaal FOP</t>
  </si>
  <si>
    <t>Totaal Bruto wedde en toelagen</t>
  </si>
  <si>
    <t>Vergoeding WOK</t>
  </si>
  <si>
    <t>voor belastbare wedde:</t>
  </si>
  <si>
    <t>haardtoelage</t>
  </si>
  <si>
    <t>standplaatstoelage</t>
  </si>
  <si>
    <t>HAU1</t>
  </si>
  <si>
    <t>Trap</t>
  </si>
  <si>
    <t>M1.1</t>
  </si>
  <si>
    <t>M2.1</t>
  </si>
  <si>
    <t>M3.1</t>
  </si>
  <si>
    <t>M4.1</t>
  </si>
  <si>
    <t>M5.1</t>
  </si>
  <si>
    <t>M1.2</t>
  </si>
  <si>
    <t>M2.2</t>
  </si>
  <si>
    <t>M3.2</t>
  </si>
  <si>
    <t>M4.2</t>
  </si>
  <si>
    <t>M5.2</t>
  </si>
  <si>
    <t>DD1</t>
  </si>
  <si>
    <t>DD2</t>
  </si>
  <si>
    <t>DD3</t>
  </si>
  <si>
    <t>DD4</t>
  </si>
  <si>
    <t>D1A</t>
  </si>
  <si>
    <t>D2A</t>
  </si>
  <si>
    <t>D3A</t>
  </si>
  <si>
    <t>D4A</t>
  </si>
  <si>
    <t>D1B</t>
  </si>
  <si>
    <t>D2B</t>
  </si>
  <si>
    <t>D3B</t>
  </si>
  <si>
    <t>D4B</t>
  </si>
  <si>
    <t>D1C</t>
  </si>
  <si>
    <t>D2C</t>
  </si>
  <si>
    <t>D3C</t>
  </si>
  <si>
    <t>D4C</t>
  </si>
  <si>
    <t>CC1</t>
  </si>
  <si>
    <t>CC2</t>
  </si>
  <si>
    <t>CC3</t>
  </si>
  <si>
    <t>CC4</t>
  </si>
  <si>
    <t>C1A</t>
  </si>
  <si>
    <t>C2A</t>
  </si>
  <si>
    <t>C3A</t>
  </si>
  <si>
    <t>C4A</t>
  </si>
  <si>
    <t>C1D</t>
  </si>
  <si>
    <t>C2D</t>
  </si>
  <si>
    <t>C3D</t>
  </si>
  <si>
    <t>C4D</t>
  </si>
  <si>
    <t>BB1</t>
  </si>
  <si>
    <t>BB2</t>
  </si>
  <si>
    <t>BB3</t>
  </si>
  <si>
    <t>BB4</t>
  </si>
  <si>
    <t>B1A</t>
  </si>
  <si>
    <t>B2A</t>
  </si>
  <si>
    <t>B3A</t>
  </si>
  <si>
    <t>B4A</t>
  </si>
  <si>
    <t>B1B</t>
  </si>
  <si>
    <t>B2B</t>
  </si>
  <si>
    <t>B3B</t>
  </si>
  <si>
    <t>B4B</t>
  </si>
  <si>
    <t>B1C</t>
  </si>
  <si>
    <t>B2C</t>
  </si>
  <si>
    <t>B3C</t>
  </si>
  <si>
    <t>B4C</t>
  </si>
  <si>
    <t>B1D</t>
  </si>
  <si>
    <t>B2D</t>
  </si>
  <si>
    <t>B3D</t>
  </si>
  <si>
    <t>B4D</t>
  </si>
  <si>
    <t>A11</t>
  </si>
  <si>
    <t>A12</t>
  </si>
  <si>
    <t>A21</t>
  </si>
  <si>
    <t>A22</t>
  </si>
  <si>
    <t>A23</t>
  </si>
  <si>
    <t>A31</t>
  </si>
  <si>
    <t>A32</t>
  </si>
  <si>
    <t>A33</t>
  </si>
  <si>
    <t>A41</t>
  </si>
  <si>
    <t>A42</t>
  </si>
  <si>
    <t>A43</t>
  </si>
  <si>
    <t>A51</t>
  </si>
  <si>
    <t>A52</t>
  </si>
  <si>
    <t>A53</t>
  </si>
  <si>
    <t>O6ir</t>
  </si>
  <si>
    <t>O2ir</t>
  </si>
  <si>
    <t>O3ir</t>
  </si>
  <si>
    <t>O4ir</t>
  </si>
  <si>
    <t>O5ir</t>
  </si>
  <si>
    <t>O1</t>
  </si>
  <si>
    <t>O2</t>
  </si>
  <si>
    <t>O3</t>
  </si>
  <si>
    <t>O4</t>
  </si>
  <si>
    <t>O5</t>
  </si>
  <si>
    <t>O6</t>
  </si>
  <si>
    <t>O7</t>
  </si>
  <si>
    <t>O8</t>
  </si>
  <si>
    <t>O4bis</t>
  </si>
  <si>
    <t>O4bis ir</t>
  </si>
  <si>
    <t>M6</t>
  </si>
  <si>
    <t>M7</t>
  </si>
  <si>
    <t>M7 bis</t>
  </si>
  <si>
    <t>CSV1</t>
  </si>
  <si>
    <t>CSV2</t>
  </si>
  <si>
    <t>CSV3</t>
  </si>
  <si>
    <t>CSV4</t>
  </si>
  <si>
    <t>CSV5</t>
  </si>
  <si>
    <t>CSV6</t>
  </si>
  <si>
    <t>B1</t>
  </si>
  <si>
    <t>B2</t>
  </si>
  <si>
    <t>B3</t>
  </si>
  <si>
    <t>B4</t>
  </si>
  <si>
    <t>B5</t>
  </si>
  <si>
    <t>HAU2</t>
  </si>
  <si>
    <t>HAU3</t>
  </si>
  <si>
    <t>HAU4</t>
  </si>
  <si>
    <t>BASP1</t>
  </si>
  <si>
    <t>BASP2</t>
  </si>
  <si>
    <t>BASP3</t>
  </si>
  <si>
    <t>BASP4</t>
  </si>
  <si>
    <t>waarde loonschaal</t>
  </si>
  <si>
    <t>waarde loonschaal HF</t>
  </si>
  <si>
    <t>Functietoelagen</t>
  </si>
  <si>
    <t>Toelage luchtsteundetachement Testpiloot of monitor</t>
  </si>
  <si>
    <t>Varend personeel luchtsteundetachement, gebrevetteerd</t>
  </si>
  <si>
    <t>Varend personeel luchtsteundetachement, met hoger brevet</t>
  </si>
  <si>
    <t>Eenheden gespecialiseerde bewaking beveiliging en interventie in Brussel</t>
  </si>
  <si>
    <t>Eenheden gespecialiseerde bewaking beveiliging en NIET-interventie in Brussel</t>
  </si>
  <si>
    <t>Bijkomende toelage, klein bedrag</t>
  </si>
  <si>
    <t>Bijkomende toelage, groot bedrag</t>
  </si>
  <si>
    <t>Varend personeel luchtsteundetachement, leerling</t>
  </si>
  <si>
    <t>Varend personeel luchtsteundetachement, tijdelijk</t>
  </si>
  <si>
    <t>Toelage Brussel</t>
  </si>
  <si>
    <t>6, na verbintenis</t>
  </si>
  <si>
    <t>Tweetaligheid</t>
  </si>
  <si>
    <t>2-taligheid</t>
  </si>
  <si>
    <t>verbintenisT</t>
  </si>
  <si>
    <t>max</t>
  </si>
  <si>
    <t>AIG _C/O_1</t>
  </si>
  <si>
    <t>AIG _C/O_2</t>
  </si>
  <si>
    <t>BAC1</t>
  </si>
  <si>
    <t>BAC2</t>
  </si>
  <si>
    <t>BAC3</t>
  </si>
  <si>
    <t>BAC4</t>
  </si>
  <si>
    <t>BAC5</t>
  </si>
  <si>
    <t>BAC6</t>
  </si>
  <si>
    <t>BAC7</t>
  </si>
  <si>
    <t>BAC8</t>
  </si>
  <si>
    <t>Coördinator</t>
  </si>
  <si>
    <t>toelage SAT</t>
  </si>
  <si>
    <t>Vergoeding Shape</t>
  </si>
  <si>
    <t>V-Shape</t>
  </si>
  <si>
    <t>HCP</t>
  </si>
  <si>
    <t>CP</t>
  </si>
  <si>
    <t>Fiscale toestand</t>
  </si>
  <si>
    <t>Toepassingsdatum</t>
  </si>
  <si>
    <t>Wet 02/08/71</t>
  </si>
  <si>
    <t>Wet 01/03/77</t>
  </si>
  <si>
    <t>Sociale uitkeringen</t>
  </si>
  <si>
    <t>Nieuwe loonschalen januari 1990 x</t>
  </si>
  <si>
    <t>KB 13.12.1989 - MB 21.12.1989</t>
  </si>
  <si>
    <t>januari 1990 x</t>
  </si>
  <si>
    <t>Index</t>
  </si>
  <si>
    <t>haard- of standplaatstoelage:</t>
  </si>
  <si>
    <t>Jaartoelage</t>
  </si>
  <si>
    <t>Basis RSZ</t>
  </si>
  <si>
    <t>Basis FOP</t>
  </si>
  <si>
    <t>Basis ZIV</t>
  </si>
  <si>
    <t>Totaal ZIV/RSZ</t>
  </si>
  <si>
    <t>Werkbonus</t>
  </si>
  <si>
    <t>vermindering werkbonus</t>
  </si>
  <si>
    <t>vermindering lage wedde statutair PL</t>
  </si>
  <si>
    <t>Maandtoelage</t>
  </si>
  <si>
    <t>berekening tewerkstellingscoëfficient 2022</t>
  </si>
  <si>
    <t>index</t>
  </si>
  <si>
    <t>maand</t>
  </si>
  <si>
    <t>effectief gewerkte dagen/uren</t>
  </si>
  <si>
    <t>afwezige dagen/uren</t>
  </si>
  <si>
    <t>uren werkrooster (per week)</t>
  </si>
  <si>
    <t>tijdsbreuk</t>
  </si>
  <si>
    <t>coëfficiënt</t>
  </si>
  <si>
    <t>mandaat KC</t>
  </si>
  <si>
    <t>januari</t>
  </si>
  <si>
    <t>februari</t>
  </si>
  <si>
    <t>maart</t>
  </si>
  <si>
    <t>tewerkstellingscoëf.</t>
  </si>
  <si>
    <t>april</t>
  </si>
  <si>
    <t>mei</t>
  </si>
  <si>
    <t>Bruto vakantiegeld</t>
  </si>
  <si>
    <t>juni</t>
  </si>
  <si>
    <t>juli</t>
  </si>
  <si>
    <t>augustus</t>
  </si>
  <si>
    <t>Belastbaar vakantiegeld</t>
  </si>
  <si>
    <t>september</t>
  </si>
  <si>
    <t>Index betalingsmaand</t>
  </si>
  <si>
    <t>oktober</t>
  </si>
  <si>
    <t>percentage</t>
  </si>
  <si>
    <t>november</t>
  </si>
  <si>
    <t>Bedrijfsvoorheffing</t>
  </si>
  <si>
    <t>december</t>
  </si>
  <si>
    <t>bis</t>
  </si>
  <si>
    <t>netto vakantiegeld</t>
  </si>
  <si>
    <t>totaal tewerkstellingscoëfficiënt:</t>
  </si>
  <si>
    <t>uren werkrooster</t>
  </si>
  <si>
    <t>mei 2023</t>
  </si>
  <si>
    <t>haardtoelage of standplaats (h/s)</t>
  </si>
  <si>
    <t>wedde</t>
  </si>
  <si>
    <t>calog-niveau</t>
  </si>
  <si>
    <t>haard- of standplaats (H/S)</t>
  </si>
  <si>
    <t>weddecompl./ mandaat KC</t>
  </si>
  <si>
    <t>vast bedrag</t>
  </si>
  <si>
    <t>=</t>
  </si>
  <si>
    <t>7% bonus EJT</t>
  </si>
  <si>
    <t>7% toelage</t>
  </si>
  <si>
    <t>==&gt;</t>
  </si>
  <si>
    <t>min</t>
  </si>
  <si>
    <t>Integratiepremie</t>
  </si>
  <si>
    <t>Bruto</t>
  </si>
  <si>
    <t>ZIV</t>
  </si>
  <si>
    <t>RSZ contractueel</t>
  </si>
  <si>
    <t>BBSZ raming</t>
  </si>
  <si>
    <t>BBSZ contractueel</t>
  </si>
  <si>
    <t>BV voltijds december</t>
  </si>
  <si>
    <t>BV contractueel VT dec</t>
  </si>
  <si>
    <t>netto statutair</t>
  </si>
  <si>
    <t>netto contractueel</t>
  </si>
  <si>
    <t>7% bedrag</t>
  </si>
  <si>
    <t>minimum niet geïndexeerd</t>
  </si>
  <si>
    <t>maximum niet geïndexeerd</t>
  </si>
  <si>
    <t>Enkel blauwe vakken invullen.</t>
  </si>
  <si>
    <t>Bij kolom effectief gewerkte uren mag 1 blijven staan, indien voltijds tewerkstelling</t>
  </si>
  <si>
    <t>Bij langdurige deeltijdse tewerkstelling: bijvoorbeeld VVW, effectief gewerkte uren 30,4 en afwezige uren 7,6</t>
  </si>
  <si>
    <t>bij korte afwezigheden, bijv. Dag VDR, aantal uren van de maand gewerkt tellen en aantal uren afwezig tellen</t>
  </si>
  <si>
    <t>bijvoorbeeld 1 dag afwezig in april: effectief gewerkte uren 152, afwezige uren 7,6</t>
  </si>
  <si>
    <t>bijvoorbeeld 1 dag afwezig op 1 april en VVW in april (wo vrij): effectief gewerkte uren 121,60, afwezige uren 38 (4 woensdagen en 1 vrijdag)</t>
  </si>
  <si>
    <t>Indien deeltijds contract, kolom uren werkrooster aanpassen naar aantal uren vermeld in contract.</t>
  </si>
  <si>
    <t>Dan verder afwerken in effectieve uren en effectieve uren afwezig TEN OPZICHTE VAN HET UURROOSTER</t>
  </si>
  <si>
    <t>BV</t>
  </si>
  <si>
    <t>bedragen circulaire</t>
  </si>
  <si>
    <t>Simulatie op basis van</t>
  </si>
  <si>
    <t>Directeur</t>
  </si>
  <si>
    <t>Overgangstoelagen</t>
  </si>
  <si>
    <t>Gehuwd</t>
  </si>
  <si>
    <t>Wettelijk samenwonend</t>
  </si>
  <si>
    <t>Alleenstaande</t>
  </si>
  <si>
    <t>Feitelijk samenwonend</t>
  </si>
  <si>
    <t>Gescheiden</t>
  </si>
  <si>
    <t>Weduwe/weduwnaar</t>
  </si>
  <si>
    <t>Varia</t>
  </si>
  <si>
    <t>Tewerkstelling</t>
  </si>
  <si>
    <t>Haard- of standplaatstoelage</t>
  </si>
  <si>
    <t>Eenheden gespecialiseerde bewaking beveiliging en interventie buiten Brussel</t>
  </si>
  <si>
    <t>Eenheden gespecialiseerde bewaking beveiliging en NIET-interventie buiten Brussel</t>
  </si>
  <si>
    <t>Compenserende toelage</t>
  </si>
  <si>
    <t>Type mandaat</t>
  </si>
  <si>
    <t>Nuttig</t>
  </si>
  <si>
    <t>Vereist</t>
  </si>
  <si>
    <t>Max</t>
  </si>
  <si>
    <t>Andere</t>
  </si>
  <si>
    <t>Trapberekening</t>
  </si>
  <si>
    <t>Wedden -
toelagen -
 vergoedingen</t>
  </si>
  <si>
    <t>=&gt; Blokkering index T&amp;V van 01/02/2002 tem 31/12/2003</t>
  </si>
  <si>
    <t>Motorrijder - In uitdoving</t>
  </si>
  <si>
    <t>Detachement beveiliging koninklijke familie - In uitdoving</t>
  </si>
  <si>
    <t>Detachement politie der militairen - In uitdoving</t>
  </si>
  <si>
    <t>Nabijheidspolitie - In uitdoving</t>
  </si>
  <si>
    <t>Misdrijfanalist - In uitdoving</t>
  </si>
  <si>
    <t>Strategisch analist - In uitdoving</t>
  </si>
  <si>
    <t>Leidinggevende - In uitdoving</t>
  </si>
  <si>
    <t>Polygrafisten - In uitdoving</t>
  </si>
  <si>
    <t>Scheepvaartpolitie - In uitdoving</t>
  </si>
  <si>
    <t>Opleider - In uitdoving</t>
  </si>
  <si>
    <t>neen</t>
  </si>
  <si>
    <t>Voor de bepaling van de waarde van het Voordeel alle aard ICT-Devices verwijzen wij graag naar de nota 'Terbeschikkingstelling van ICT-devices en abonnementen - Voordelen van alle aard - Nieuwe reglementering vanaf 1 januari 2018' van 10/10/2018, welke u kan terugvinden op onze website</t>
  </si>
  <si>
    <t>Vul de bijkomende vragen (rechts) aangaande het dienstvoertuig in, om het de gemiddelde waarde van het voordeel alle aard te bepalen.</t>
  </si>
  <si>
    <t>Waarde dienstvoertuig</t>
  </si>
  <si>
    <t>Brandstoftype</t>
  </si>
  <si>
    <t>Diesel</t>
  </si>
  <si>
    <t xml:space="preserve">merk </t>
  </si>
  <si>
    <t>type</t>
  </si>
  <si>
    <t>voertuig</t>
  </si>
  <si>
    <t>minimumbedrag VAA</t>
  </si>
  <si>
    <t>brandstoftype</t>
  </si>
  <si>
    <t>CO2 uitstoot</t>
  </si>
  <si>
    <t>gram/km</t>
  </si>
  <si>
    <t>basis CO2 uitstoot</t>
  </si>
  <si>
    <t>fiscale vrijstelling</t>
  </si>
  <si>
    <t>CO2-percentage</t>
  </si>
  <si>
    <t>%</t>
  </si>
  <si>
    <t>Kalenderjaar</t>
  </si>
  <si>
    <t>schrikkeljaar (ja/neen)</t>
  </si>
  <si>
    <t>cataloguswaarde voertuig zonder korting, inclusief effectief betaalde BTW</t>
  </si>
  <si>
    <t>eerste inschrijvingsdatum</t>
  </si>
  <si>
    <t>Belastbaar voordeel</t>
  </si>
  <si>
    <t>cataloguswaarde</t>
  </si>
  <si>
    <t>CO2 percentage</t>
  </si>
  <si>
    <t>aantal dagen maand</t>
  </si>
  <si>
    <t>aantal dagen jaar</t>
  </si>
  <si>
    <t>leeftijd wagen in jaren</t>
  </si>
  <si>
    <t>% cataloguswaarde</t>
  </si>
  <si>
    <t>belast voordeel jaar</t>
  </si>
  <si>
    <t>belastb voordeel maand</t>
  </si>
  <si>
    <t>eigen bijdrage in €</t>
  </si>
  <si>
    <t>verrekende eigen bijdrage</t>
  </si>
  <si>
    <t>netto voordeel</t>
  </si>
  <si>
    <t>fiscale  vrijstelling</t>
  </si>
  <si>
    <t>Telewerkvergoeding</t>
  </si>
  <si>
    <t>Internet</t>
  </si>
  <si>
    <t>kantoorbenodigdheden</t>
  </si>
  <si>
    <t>Vergoeding Telewerk</t>
  </si>
  <si>
    <t>Ford Escort</t>
  </si>
  <si>
    <t>Toelage beleidsondersteuning</t>
  </si>
  <si>
    <t>Beleidsadviseur</t>
  </si>
  <si>
    <t>Persoonlijk medewerker</t>
  </si>
  <si>
    <t>Toelage SAT Binnenlandse Zaken</t>
  </si>
  <si>
    <t>Lid secretariaat</t>
  </si>
  <si>
    <t>Administratieve steun</t>
  </si>
  <si>
    <t>Toelage sat Justitie</t>
  </si>
  <si>
    <t>Overige leden</t>
  </si>
  <si>
    <t>Overige officieren en niveau A</t>
  </si>
  <si>
    <t>Nederlands</t>
  </si>
  <si>
    <t>Français</t>
  </si>
  <si>
    <t>Allocation de résidence</t>
  </si>
  <si>
    <t>Pour la détermination de la valeur de l'avantage de toute nature des ICT-Devices, nous vous renvoyons à la note "Mise à disposition d’ICT-devices et d’abonnements – Avantages de toute nature
– Réglementation à partir du 1er janvier 2018" du 10/10/2018, que vous pouvez retrouver sur notre site internet</t>
  </si>
  <si>
    <t>Complétez les questions supplémentaires (à droite) concernant le véhicule de service afin de déterminer la valeur moyenne de l'avantage de toute nature.</t>
  </si>
  <si>
    <t>Brandstoftype persoonlijk voertuig</t>
  </si>
  <si>
    <t>CO2-uitstoot voertuig</t>
  </si>
  <si>
    <t>Cataloguswaarde voertuig</t>
  </si>
  <si>
    <t>Eerste inschrijvingsdatum voertuig</t>
  </si>
  <si>
    <t>Emission CO2 du véhicule</t>
  </si>
  <si>
    <t>Valeur catalogue du véhicule</t>
  </si>
  <si>
    <t>Première date d'immatriculation du véhicule</t>
  </si>
  <si>
    <t>Type de carburant du véhicule personnel</t>
  </si>
  <si>
    <t>Plug-in hybride diesel</t>
  </si>
  <si>
    <t>Raadpleeg de lijst met valse hybride-voertuigen op de website van de FOD Financiën</t>
  </si>
  <si>
    <t>Consultez la liste des véhicules faux hybrides sur le site internet du SPF Finances</t>
  </si>
  <si>
    <t>Niet mogelijk voor een agent/beveiligingsagent!</t>
  </si>
  <si>
    <t>Pas possible pour un agent/agent de sécurisation!</t>
  </si>
  <si>
    <t>Pas possible pour un membre du personnel CALog!</t>
  </si>
  <si>
    <t>Niet mogelijk in combinatie met functietoelage</t>
  </si>
  <si>
    <t>Pas possible en cumul avec une allocation de fonction</t>
  </si>
  <si>
    <t>Niet mogelijk voor een CALog personeelslid!</t>
  </si>
  <si>
    <t>Enkel mogelijk indien in dienst VOOR 01/04/2001 en ononderbroken recht sindsdien</t>
  </si>
  <si>
    <t>Uniquement possible si entrée en service AVANT le 01/04/2001 et droit ininterrompu depuis</t>
  </si>
  <si>
    <t>Marié(e)</t>
  </si>
  <si>
    <t>En cohabitation légale</t>
  </si>
  <si>
    <t>Isolé</t>
  </si>
  <si>
    <t>En cohabitation de fait</t>
  </si>
  <si>
    <t>Veuf/veuve</t>
  </si>
  <si>
    <t>Revenus du/de la partenaire</t>
  </si>
  <si>
    <t>Le/la partenaire n'a PAS de revenus propres</t>
  </si>
  <si>
    <t>Allocation détachement aérien, pilote d'essai ou moniteur</t>
  </si>
  <si>
    <t>Allocations de fonction</t>
  </si>
  <si>
    <t>Détachement de l'appui aérien, personnel naviguant, temporaire</t>
  </si>
  <si>
    <t>Détachement de l'appui aérien, personnel naviguant, élève</t>
  </si>
  <si>
    <t>Détachement de l'appui aérien, personnel naviguant, breveté</t>
  </si>
  <si>
    <t>Détachement de l'appui aérien, personnel naviguant, avec brevet supérieur</t>
  </si>
  <si>
    <t>Unités spéciales surveillance, protection et intervention à Bruxelles</t>
  </si>
  <si>
    <t>Unités spéciales surveillance, protection et intervention hors de Bruxelles</t>
  </si>
  <si>
    <t>Unités spéciales surveillance, protection SANS intervention à Bruxelles</t>
  </si>
  <si>
    <t>Unités spéciales surveillance, protection SANS intervention hors de Bruxelles</t>
  </si>
  <si>
    <t>Motocycliste - En extinction</t>
  </si>
  <si>
    <t>Détachement protection de la famille royale - En extinction</t>
  </si>
  <si>
    <t>Détachement police des militaires - En extinction</t>
  </si>
  <si>
    <t>Police de proximité - En extinction</t>
  </si>
  <si>
    <t>Analyste criminel - En extinction</t>
  </si>
  <si>
    <t>Analyste stratégique - En extinction</t>
  </si>
  <si>
    <t>Dirigeant - En extinction</t>
  </si>
  <si>
    <t>Polygraphistes - En extinction</t>
  </si>
  <si>
    <t>Police de la navigation - En extinction</t>
  </si>
  <si>
    <t>Formateur - En extinction</t>
  </si>
  <si>
    <t>Allocations transitoires</t>
  </si>
  <si>
    <t>Allocation compensatoire</t>
  </si>
  <si>
    <t>Allocation complémentaire, petit montant</t>
  </si>
  <si>
    <t>Allocation complémentaire, grand montant</t>
  </si>
  <si>
    <t>Type de mandat</t>
  </si>
  <si>
    <t>Allocation Bruxelles-Capitale</t>
  </si>
  <si>
    <t>Bedrag</t>
  </si>
  <si>
    <t>Montant</t>
  </si>
  <si>
    <t>6, après engagement</t>
  </si>
  <si>
    <t>Bilinguisme</t>
  </si>
  <si>
    <t>Utile</t>
  </si>
  <si>
    <t>Exigé</t>
  </si>
  <si>
    <t>Allocation SAT Intérieur</t>
  </si>
  <si>
    <t>Allocation SAT Justice</t>
  </si>
  <si>
    <t>Allocation appui à la gestion</t>
  </si>
  <si>
    <t>Membre du Secrétariat</t>
  </si>
  <si>
    <t>Soutien administratif</t>
  </si>
  <si>
    <t>Coordinateur</t>
  </si>
  <si>
    <t>Autres officiers et niveau A</t>
  </si>
  <si>
    <t>Autres membres</t>
  </si>
  <si>
    <t>Conseiller à la gestion</t>
  </si>
  <si>
    <t>Collaborateur personnel</t>
  </si>
  <si>
    <t>Indemnité Shape</t>
  </si>
  <si>
    <t>CDP</t>
  </si>
  <si>
    <t>Autre</t>
  </si>
  <si>
    <t>Simulation pour</t>
  </si>
  <si>
    <t>Numéro d'identification</t>
  </si>
  <si>
    <t>Base annuelle</t>
  </si>
  <si>
    <t>Mandat</t>
  </si>
  <si>
    <t>% de mise au travail</t>
  </si>
  <si>
    <t>Nombre de jours prestés</t>
  </si>
  <si>
    <t>Nombre de jours prestés/mois</t>
  </si>
  <si>
    <t>Traitement mensuel brut</t>
  </si>
  <si>
    <t>AMI traitement</t>
  </si>
  <si>
    <t>FPS traitement</t>
  </si>
  <si>
    <t>Allocation de foyer ou de résidence:</t>
  </si>
  <si>
    <t>Montant de l'allocation</t>
  </si>
  <si>
    <t>Montant mensuel</t>
  </si>
  <si>
    <t>Allocation annuelle</t>
  </si>
  <si>
    <t>AMI sur l'allocation</t>
  </si>
  <si>
    <t xml:space="preserve">Montant de l'allocation </t>
  </si>
  <si>
    <t>Allocation de bilinguisme</t>
  </si>
  <si>
    <t>Base ONSS</t>
  </si>
  <si>
    <t>Base FPS</t>
  </si>
  <si>
    <t>Base AMI</t>
  </si>
  <si>
    <t>Total brut traitement et allocations</t>
  </si>
  <si>
    <t>Total FPS</t>
  </si>
  <si>
    <t>Total AMI/ONSS</t>
  </si>
  <si>
    <t>Bonus à l'emploi</t>
  </si>
  <si>
    <t>Traitement imposable</t>
  </si>
  <si>
    <r>
      <t xml:space="preserve">Allocation </t>
    </r>
    <r>
      <rPr>
        <sz val="11"/>
        <color rgb="FFFF0000"/>
        <rFont val="Calibri"/>
        <family val="2"/>
        <scheme val="minor"/>
      </rPr>
      <t xml:space="preserve">4/5ème </t>
    </r>
  </si>
  <si>
    <t>Allocation mensuelle</t>
  </si>
  <si>
    <r>
      <t>AMI sur l'allocation</t>
    </r>
    <r>
      <rPr>
        <sz val="11"/>
        <color rgb="FFFF0000"/>
        <rFont val="Calibri"/>
        <family val="2"/>
        <scheme val="minor"/>
      </rPr>
      <t xml:space="preserve"> 4/5ème</t>
    </r>
  </si>
  <si>
    <r>
      <rPr>
        <sz val="11"/>
        <rFont val="Calibri"/>
        <family val="2"/>
        <scheme val="minor"/>
      </rPr>
      <t>Allocation i</t>
    </r>
    <r>
      <rPr>
        <sz val="11"/>
        <color theme="1"/>
        <rFont val="Calibri"/>
        <family val="2"/>
        <scheme val="minor"/>
      </rPr>
      <t>mposable</t>
    </r>
    <r>
      <rPr>
        <sz val="11"/>
        <color rgb="FFFF0000"/>
        <rFont val="Calibri"/>
        <family val="2"/>
        <scheme val="minor"/>
      </rPr>
      <t xml:space="preserve"> 4/5ème</t>
    </r>
  </si>
  <si>
    <t>Base CSSS</t>
  </si>
  <si>
    <t>CSSS</t>
  </si>
  <si>
    <t>Précompte professionnel sur traitement</t>
  </si>
  <si>
    <t>Réduction bas salaires MP statutaire</t>
  </si>
  <si>
    <t>Réduction bonus à l'emploi</t>
  </si>
  <si>
    <t>Réduction 3</t>
  </si>
  <si>
    <t>Précompte prof. calculé sur le traitement</t>
  </si>
  <si>
    <t>Précompte professionnel 4/5ème</t>
  </si>
  <si>
    <t>Indemnité de téléphone</t>
  </si>
  <si>
    <t>Indemnité d'uniforme</t>
  </si>
  <si>
    <t>Indemnité FRE</t>
  </si>
  <si>
    <t>Vergoeding onderhoud politiehond</t>
  </si>
  <si>
    <t>Indemnité entretien d'un chien policier</t>
  </si>
  <si>
    <t>Indemnité de télétravail</t>
  </si>
  <si>
    <t>Net</t>
  </si>
  <si>
    <t>Allocation de foyer</t>
  </si>
  <si>
    <t>Précompte professionnel travail à mi-temps à partir de 50/55 ans</t>
  </si>
  <si>
    <t>bedrijfsvoorheffing Vierdagenweek</t>
  </si>
  <si>
    <t>Bedrijfsvoorheffing Halftijds werken vanaf 55 jaar</t>
  </si>
  <si>
    <t>Pour le traitement imposable:</t>
  </si>
  <si>
    <r>
      <rPr>
        <sz val="11"/>
        <rFont val="Calibri"/>
        <family val="2"/>
        <scheme val="minor"/>
      </rPr>
      <t xml:space="preserve">Allocation </t>
    </r>
    <r>
      <rPr>
        <sz val="11"/>
        <color theme="1"/>
        <rFont val="Calibri"/>
        <family val="2"/>
        <scheme val="minor"/>
      </rPr>
      <t xml:space="preserve">imposable </t>
    </r>
    <r>
      <rPr>
        <sz val="11"/>
        <color rgb="FFFF0000"/>
        <rFont val="Calibri"/>
        <family val="2"/>
        <scheme val="minor"/>
      </rPr>
      <t>travail à mi-temps à partir de 50/55 ans</t>
    </r>
  </si>
  <si>
    <t>Belastbare toelage Halftijds werken vanaf 55 jaar</t>
  </si>
  <si>
    <r>
      <t xml:space="preserve">Allocation </t>
    </r>
    <r>
      <rPr>
        <sz val="11"/>
        <color rgb="FFFF0000"/>
        <rFont val="Calibri"/>
        <family val="2"/>
        <scheme val="minor"/>
      </rPr>
      <t>travail à mi-temps à partir de 50/55 ans</t>
    </r>
  </si>
  <si>
    <t>Toelage Halftijds werken vanaf 55 jaar</t>
  </si>
  <si>
    <t>allocation d'engagement</t>
  </si>
  <si>
    <t>verbintenistoelage</t>
  </si>
  <si>
    <t>AIG</t>
  </si>
  <si>
    <t>Ex-militairen</t>
  </si>
  <si>
    <t>Comptable/BRP</t>
  </si>
  <si>
    <t>secretaris/secrétaire</t>
  </si>
  <si>
    <t>Hogere functie wedde</t>
  </si>
  <si>
    <t>Fonction sup traitement</t>
  </si>
  <si>
    <t>Hogere functie mandaat</t>
  </si>
  <si>
    <t>Fonction sup mandat</t>
  </si>
  <si>
    <t>allocation SAT Intérieur</t>
  </si>
  <si>
    <t>Toelage SAT Bi Za</t>
  </si>
  <si>
    <t>Toelage Sat Justitie</t>
  </si>
  <si>
    <t>allocation SAT Justice</t>
  </si>
  <si>
    <t>totaal toelage</t>
  </si>
  <si>
    <t>total allocations</t>
  </si>
  <si>
    <t>Kind ten laste</t>
  </si>
  <si>
    <t>enfant à charge</t>
  </si>
  <si>
    <t>gehuwd echtgen.</t>
  </si>
  <si>
    <t>Marié partenaire</t>
  </si>
  <si>
    <t>Geen inkomen</t>
  </si>
  <si>
    <t>Pas de revenus</t>
  </si>
  <si>
    <t>wel inkomen</t>
  </si>
  <si>
    <t>Revenus</t>
  </si>
  <si>
    <t>loonschaal</t>
  </si>
  <si>
    <t>Echelle</t>
  </si>
  <si>
    <t>vereist</t>
  </si>
  <si>
    <t>Toelage HF</t>
  </si>
  <si>
    <t>Séparé(e)</t>
  </si>
  <si>
    <t>Isolé(e)</t>
  </si>
  <si>
    <t>testpiloot</t>
  </si>
  <si>
    <t>beleidsondersteun</t>
  </si>
  <si>
    <t>ICT-Devices</t>
  </si>
  <si>
    <t>Partner heeft pers. Inkomsten ≤275 euro netto / maand</t>
  </si>
  <si>
    <t>Partner heeft pers. Inkomsten van &gt;275 euro netto / maand</t>
  </si>
  <si>
    <t>Partner heeft een pensioen ≤165 euro netto / maand</t>
  </si>
  <si>
    <t>Partner heeft een pensioen &gt;165 euro maar ≤548 euro netto /maand</t>
  </si>
  <si>
    <t>Partner heeft een pensioen van &gt;548 euro netto per maand</t>
  </si>
  <si>
    <t>Le/la partenaire a des revenus ≤275 euros nets/mois</t>
  </si>
  <si>
    <t>Le/la partenaire a des revenus &gt;275 euros nets/mois</t>
  </si>
  <si>
    <t>Le/la partenaire a une pension ≤165 euros nets/mois</t>
  </si>
  <si>
    <t>Le/la partenaire a une pension &gt;165 euros mais ≤548 euros nets/mois</t>
  </si>
  <si>
    <t>Le/la partenaire a une pension &gt;548 euros nets/mois</t>
  </si>
  <si>
    <t>EJT</t>
  </si>
  <si>
    <t>Le/la partenaire est  fonctionnaire international avec &gt; 13.050 euros nets/an</t>
  </si>
  <si>
    <t>Partner is internationaal ambtenaar met &gt; 13.050 euro netto / jaar</t>
  </si>
  <si>
    <t>Vakantiegeld</t>
  </si>
  <si>
    <t>Le montant d'émission CO2 de référence pour 2024 n'est pas encore connu! Le calcul est effectué sur base des données de 2023!</t>
  </si>
  <si>
    <t>Referentie CO2-uitstoot 2024 is nog niet gekend! De berekening gebeurt op basis van de gegevens van 2023! </t>
  </si>
  <si>
    <t>Werkt u minstens 30,4 uur/maand van thuis uit?</t>
  </si>
  <si>
    <t>Werkt u minstens 7,60 uur/maand van thuis uit?</t>
  </si>
  <si>
    <t>Travaillez-vous au moins 30,4 heures/mois  depuis la maison?</t>
  </si>
  <si>
    <t>Travaillez-vous au moins 7,6 heures/mois  depuis la maison?</t>
  </si>
  <si>
    <t>Dagen verlof dwingende reden</t>
  </si>
  <si>
    <t>Dagen erkende staking</t>
  </si>
  <si>
    <t>Dagen ongewettigd afwezig</t>
  </si>
  <si>
    <t>Andere onbetaalde verlofdagen</t>
  </si>
  <si>
    <t>Jours de congé pour motifs impérieux</t>
  </si>
  <si>
    <t>Jours de grève reconnus</t>
  </si>
  <si>
    <t>Jours d'absence injustifiée</t>
  </si>
  <si>
    <t>Autre jours d'absence non rémunérés</t>
  </si>
  <si>
    <t>Lokaal</t>
  </si>
  <si>
    <t>Lokale politie</t>
  </si>
  <si>
    <t>Federale politie</t>
  </si>
  <si>
    <t>patronale bijdragen</t>
  </si>
  <si>
    <t>jaar</t>
  </si>
  <si>
    <t>Contr</t>
  </si>
  <si>
    <t>FOP</t>
  </si>
  <si>
    <t>Soc. Dienst</t>
  </si>
  <si>
    <t>Federaal</t>
  </si>
  <si>
    <t>Police locale</t>
  </si>
  <si>
    <t>Police fédérale</t>
  </si>
  <si>
    <t>Hoeveel van deze personen ouder dan 65 jaar zijn zorgbehoevend?</t>
  </si>
  <si>
    <t>D4A.1</t>
  </si>
  <si>
    <t>CC4.1</t>
  </si>
  <si>
    <t>C4A.1</t>
  </si>
  <si>
    <t>BB4.1</t>
  </si>
  <si>
    <t>B4A.1</t>
  </si>
  <si>
    <t>B4B.1</t>
  </si>
  <si>
    <t>WB A</t>
  </si>
  <si>
    <t>WB B</t>
  </si>
  <si>
    <t>Berekening Werkbonus A</t>
  </si>
  <si>
    <t>Berekening Werkbonus B</t>
  </si>
  <si>
    <t>Basisloon werkbonus</t>
  </si>
  <si>
    <t>Werkbonus A</t>
  </si>
  <si>
    <t>Werkbonus B</t>
  </si>
  <si>
    <t> BSV1</t>
  </si>
  <si>
    <t>BSV2</t>
  </si>
  <si>
    <t>BSV3</t>
  </si>
  <si>
    <t>BSV4</t>
  </si>
  <si>
    <t>BSV5</t>
  </si>
  <si>
    <t>BSV1</t>
  </si>
  <si>
    <t>Bep toelagen</t>
  </si>
  <si>
    <t>bep mand</t>
  </si>
  <si>
    <t>verbintenis</t>
  </si>
  <si>
    <t>2T</t>
  </si>
  <si>
    <t>SAT</t>
  </si>
  <si>
    <t>Shape</t>
  </si>
  <si>
    <t>RSZ</t>
  </si>
  <si>
    <t>Kies hier de taal waarin u wenst verder te gaan =&gt; 
Choisissez la langue dans laquelle vous souhaitez poursuivre =&gt;</t>
  </si>
  <si>
    <t>Simulation au</t>
  </si>
  <si>
    <t>Simulatie op</t>
  </si>
  <si>
    <t>Pour quelle fonction/quel grade souhaitez-vous une simulation (choisissez dans la liste)</t>
  </si>
  <si>
    <t>Voor welke functie/graad wenst u een simulatie (kies uit de picklist hiernaast)</t>
  </si>
  <si>
    <t>S'agit-il d'une fonction contractuelle ou statutaire (choisissez dans la liste)</t>
  </si>
  <si>
    <t xml:space="preserve">Betreft dit een contractuele of statutaire betrekking (kies uit de picklist hiernaast) </t>
  </si>
  <si>
    <t>Combien d'années d'expérience pourriez-vous valoriser (ancienneté pécuniaire)</t>
  </si>
  <si>
    <t>Hoeveel jaar ervaring zou u kunnen valoriseren (geldelijke anciënniteit)</t>
  </si>
  <si>
    <t>Vous êtes (choisissez dans la liste)</t>
  </si>
  <si>
    <t>U bent (kies uit de picklist)</t>
  </si>
  <si>
    <t>Combien d'enfants avez-vous à charge?</t>
  </si>
  <si>
    <t xml:space="preserve">Hoeveel kinderen heeft u ten laste? </t>
  </si>
  <si>
    <t>Traitement net, sans éventuelles allocations et indemnités</t>
  </si>
  <si>
    <t>Nettowedde, zonder eventuele toelagen en vergoedingen</t>
  </si>
  <si>
    <t>Pécule de vacances net</t>
  </si>
  <si>
    <t>Netto vakantiegeld</t>
  </si>
  <si>
    <t>Allocation de fin d'année nette</t>
  </si>
  <si>
    <t>Netto eindejaarstoelage</t>
  </si>
  <si>
    <t>statutair</t>
  </si>
  <si>
    <t>Contractueel</t>
  </si>
  <si>
    <t>Aspirant-(beveiligings)agent</t>
  </si>
  <si>
    <t>Aspirant-inspecteur</t>
  </si>
  <si>
    <t>Aspirant-hoofdinspecteur bijzondere specialisatie</t>
  </si>
  <si>
    <t>Aspirant-commissaris</t>
  </si>
  <si>
    <t>Arbeider-hulpkracht</t>
  </si>
  <si>
    <t>Bediende niveau D</t>
  </si>
  <si>
    <t>Assistent niveau C</t>
  </si>
  <si>
    <t>ICT-assistent</t>
  </si>
  <si>
    <t>Consulent  niveau B</t>
  </si>
  <si>
    <t>Vertaler</t>
  </si>
  <si>
    <t>ICT-consulent</t>
  </si>
  <si>
    <t>Maatschappelijk assistent</t>
  </si>
  <si>
    <t xml:space="preserve">Boekhouder </t>
  </si>
  <si>
    <t xml:space="preserve">Verpleger </t>
  </si>
  <si>
    <t>Laborant</t>
  </si>
  <si>
    <t>Directiesecretaris</t>
  </si>
  <si>
    <t xml:space="preserve">Communicatieconsulent </t>
  </si>
  <si>
    <t xml:space="preserve">Adviseur niveau A klasse 1 </t>
  </si>
  <si>
    <t xml:space="preserve">Adviseur niveau A klasse 2 </t>
  </si>
  <si>
    <t xml:space="preserve">Adviseur niveau A klasse 3 </t>
  </si>
  <si>
    <t>Secrétaire de direction</t>
  </si>
  <si>
    <t>Comptable</t>
  </si>
  <si>
    <t>Picklist!</t>
  </si>
  <si>
    <t>Aspirant agent (de sécurisation)</t>
  </si>
  <si>
    <t>Aspirant inspecteur</t>
  </si>
  <si>
    <t>Aspirant inspecteur principal spécialisé</t>
  </si>
  <si>
    <t>Aspirant commissaire</t>
  </si>
  <si>
    <t>Ouvrier</t>
  </si>
  <si>
    <t>Employé niveau D</t>
  </si>
  <si>
    <t>Assistant niveau C</t>
  </si>
  <si>
    <t>Assistant ICT</t>
  </si>
  <si>
    <t>Consultant niveau B</t>
  </si>
  <si>
    <t>Traducteur</t>
  </si>
  <si>
    <t>Consultant ICT</t>
  </si>
  <si>
    <t>Assistant social.e</t>
  </si>
  <si>
    <t>Infirmier</t>
  </si>
  <si>
    <t>Laborantin</t>
  </si>
  <si>
    <t>Consultant en communication</t>
  </si>
  <si>
    <t>Conseiller niveau A classe 1</t>
  </si>
  <si>
    <t>Conseiller niveau A classe 2</t>
  </si>
  <si>
    <t>Conseiller niveau A classe 3</t>
  </si>
  <si>
    <t>ouder dan 66 en zorgbehoevend ten laste</t>
  </si>
  <si>
    <t>Roos: koppelen: NIET VERGETEN</t>
  </si>
  <si>
    <t>tot 16710</t>
  </si>
  <si>
    <t>van 16710,01 tot 29500</t>
  </si>
  <si>
    <t>van 29500,01 tot 51050</t>
  </si>
  <si>
    <t>hoger dan 51050</t>
  </si>
  <si>
    <t>echtg zonder inkomsten of pensioen &lt; 174 net/maand</t>
  </si>
  <si>
    <t>echtg alleen pensioen &gt;174 maar ≤579 net/maand</t>
  </si>
  <si>
    <t>echtg beroepsinkomsten &lt;290 euro net /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</si>
</sst>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#\-#####\-##"/>
    <numFmt numFmtId="165" formatCode="0.0000"/>
    <numFmt numFmtId="166" formatCode="&quot;€&quot;\ #,##0.00"/>
    <numFmt numFmtId="167" formatCode="0.000000"/>
    <numFmt numFmtId="168" formatCode="0.0000_ ;\-0.0000\ "/>
    <numFmt numFmtId="169" formatCode="0.00000000"/>
    <numFmt numFmtId="170" formatCode="yyyy"/>
    <numFmt numFmtId="171" formatCode="mm\/yyyy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sz val="8"/>
      <name val="Arial"/>
      <family val="2"/>
    </font>
    <font>
      <sz val="4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Dialog"/>
    </font>
    <font>
      <b/>
      <sz val="16"/>
      <color rgb="FFFF0000"/>
      <name val="Calibri"/>
      <family val="2"/>
      <scheme val="minor"/>
    </font>
    <font>
      <b/>
      <sz val="2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00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33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29">
    <xf numFmtId="0" fontId="0" fillId="0" borderId="0" xfId="0"/>
    <xf numFmtId="10" fontId="0" fillId="0" borderId="0" xfId="0" applyNumberFormat="1"/>
    <xf numFmtId="0" fontId="0" fillId="0" borderId="0" xfId="0" quotePrefix="1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164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2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0" fillId="3" borderId="0" xfId="0" applyFill="1"/>
    <xf numFmtId="2" fontId="3" fillId="4" borderId="1" xfId="0" applyNumberFormat="1" applyFont="1" applyFill="1" applyBorder="1"/>
    <xf numFmtId="166" fontId="0" fillId="2" borderId="0" xfId="0" applyNumberFormat="1" applyFill="1" applyProtection="1">
      <protection locked="0"/>
    </xf>
    <xf numFmtId="166" fontId="1" fillId="2" borderId="0" xfId="0" applyNumberFormat="1" applyFont="1" applyFill="1" applyProtection="1">
      <protection locked="0"/>
    </xf>
    <xf numFmtId="1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7" xfId="0" applyNumberForma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7" xfId="0" applyNumberFormat="1" applyFill="1" applyBorder="1"/>
    <xf numFmtId="2" fontId="0" fillId="5" borderId="1" xfId="0" applyNumberFormat="1" applyFill="1" applyBorder="1"/>
    <xf numFmtId="2" fontId="0" fillId="5" borderId="8" xfId="0" applyNumberFormat="1" applyFill="1" applyBorder="1"/>
    <xf numFmtId="2" fontId="0" fillId="6" borderId="7" xfId="0" applyNumberFormat="1" applyFill="1" applyBorder="1"/>
    <xf numFmtId="2" fontId="0" fillId="6" borderId="1" xfId="0" applyNumberFormat="1" applyFill="1" applyBorder="1"/>
    <xf numFmtId="2" fontId="0" fillId="6" borderId="8" xfId="0" applyNumberFormat="1" applyFill="1" applyBorder="1"/>
    <xf numFmtId="2" fontId="0" fillId="5" borderId="10" xfId="0" applyNumberFormat="1" applyFill="1" applyBorder="1"/>
    <xf numFmtId="2" fontId="0" fillId="5" borderId="11" xfId="0" applyNumberFormat="1" applyFill="1" applyBorder="1"/>
    <xf numFmtId="2" fontId="0" fillId="6" borderId="10" xfId="0" applyNumberFormat="1" applyFill="1" applyBorder="1"/>
    <xf numFmtId="4" fontId="0" fillId="0" borderId="0" xfId="0" applyNumberFormat="1"/>
    <xf numFmtId="2" fontId="0" fillId="6" borderId="13" xfId="0" applyNumberFormat="1" applyFill="1" applyBorder="1"/>
    <xf numFmtId="2" fontId="0" fillId="6" borderId="14" xfId="0" applyNumberFormat="1" applyFill="1" applyBorder="1"/>
    <xf numFmtId="2" fontId="0" fillId="5" borderId="14" xfId="0" applyNumberFormat="1" applyFill="1" applyBorder="1"/>
    <xf numFmtId="2" fontId="0" fillId="5" borderId="15" xfId="0" applyNumberFormat="1" applyFill="1" applyBorder="1"/>
    <xf numFmtId="4" fontId="0" fillId="0" borderId="1" xfId="0" applyNumberFormat="1" applyBorder="1"/>
    <xf numFmtId="4" fontId="0" fillId="0" borderId="10" xfId="0" applyNumberFormat="1" applyBorder="1"/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2" fontId="0" fillId="0" borderId="18" xfId="0" applyNumberFormat="1" applyBorder="1"/>
    <xf numFmtId="2" fontId="0" fillId="0" borderId="19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2" fontId="0" fillId="6" borderId="18" xfId="0" applyNumberFormat="1" applyFill="1" applyBorder="1"/>
    <xf numFmtId="2" fontId="0" fillId="6" borderId="19" xfId="0" applyNumberFormat="1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2" fontId="0" fillId="6" borderId="0" xfId="0" applyNumberFormat="1" applyFill="1"/>
    <xf numFmtId="2" fontId="0" fillId="5" borderId="0" xfId="0" applyNumberFormat="1" applyFill="1"/>
    <xf numFmtId="0" fontId="5" fillId="0" borderId="0" xfId="0" applyFont="1"/>
    <xf numFmtId="0" fontId="0" fillId="0" borderId="0" xfId="0" applyAlignment="1">
      <alignment horizontal="right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/>
    <xf numFmtId="2" fontId="0" fillId="0" borderId="17" xfId="0" applyNumberFormat="1" applyBorder="1"/>
    <xf numFmtId="2" fontId="0" fillId="0" borderId="24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4" fontId="0" fillId="0" borderId="21" xfId="0" applyNumberFormat="1" applyBorder="1"/>
    <xf numFmtId="4" fontId="0" fillId="0" borderId="22" xfId="0" applyNumberFormat="1" applyBorder="1"/>
    <xf numFmtId="4" fontId="0" fillId="0" borderId="17" xfId="0" applyNumberFormat="1" applyBorder="1"/>
    <xf numFmtId="4" fontId="0" fillId="0" borderId="23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/>
    </xf>
    <xf numFmtId="167" fontId="0" fillId="0" borderId="0" xfId="0" applyNumberFormat="1"/>
    <xf numFmtId="165" fontId="0" fillId="0" borderId="0" xfId="0" applyNumberFormat="1" applyAlignment="1">
      <alignment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14" fontId="1" fillId="0" borderId="0" xfId="0" applyNumberFormat="1" applyFont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3" borderId="35" xfId="0" applyFill="1" applyBorder="1"/>
    <xf numFmtId="165" fontId="0" fillId="7" borderId="0" xfId="0" applyNumberFormat="1" applyFill="1" applyProtection="1">
      <protection locked="0"/>
    </xf>
    <xf numFmtId="0" fontId="1" fillId="3" borderId="38" xfId="0" applyFont="1" applyFill="1" applyBorder="1"/>
    <xf numFmtId="0" fontId="0" fillId="3" borderId="1" xfId="0" applyFill="1" applyBorder="1"/>
    <xf numFmtId="2" fontId="0" fillId="4" borderId="0" xfId="0" applyNumberFormat="1" applyFill="1" applyProtection="1">
      <protection locked="0"/>
    </xf>
    <xf numFmtId="0" fontId="0" fillId="3" borderId="38" xfId="0" applyFill="1" applyBorder="1"/>
    <xf numFmtId="2" fontId="0" fillId="8" borderId="0" xfId="0" applyNumberFormat="1" applyFill="1"/>
    <xf numFmtId="0" fontId="1" fillId="3" borderId="1" xfId="0" applyFont="1" applyFill="1" applyBorder="1"/>
    <xf numFmtId="0" fontId="0" fillId="3" borderId="30" xfId="0" applyFill="1" applyBorder="1"/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8" borderId="4" xfId="0" applyFill="1" applyBorder="1"/>
    <xf numFmtId="0" fontId="0" fillId="8" borderId="39" xfId="0" applyFill="1" applyBorder="1"/>
    <xf numFmtId="0" fontId="1" fillId="3" borderId="40" xfId="0" applyFont="1" applyFill="1" applyBorder="1"/>
    <xf numFmtId="2" fontId="11" fillId="0" borderId="0" xfId="0" applyNumberFormat="1" applyFont="1"/>
    <xf numFmtId="0" fontId="0" fillId="0" borderId="0" xfId="0" quotePrefix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4" borderId="7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8" borderId="1" xfId="0" applyFill="1" applyBorder="1"/>
    <xf numFmtId="0" fontId="0" fillId="8" borderId="41" xfId="0" applyFill="1" applyBorder="1"/>
    <xf numFmtId="0" fontId="1" fillId="3" borderId="42" xfId="0" applyFont="1" applyFill="1" applyBorder="1"/>
    <xf numFmtId="0" fontId="1" fillId="0" borderId="0" xfId="0" applyFont="1" applyAlignment="1">
      <alignment vertical="center"/>
    </xf>
    <xf numFmtId="165" fontId="0" fillId="8" borderId="0" xfId="0" applyNumberFormat="1" applyFill="1"/>
    <xf numFmtId="0" fontId="0" fillId="0" borderId="42" xfId="0" applyBorder="1"/>
    <xf numFmtId="2" fontId="0" fillId="0" borderId="0" xfId="0" quotePrefix="1" applyNumberFormat="1" applyAlignment="1">
      <alignment vertical="center" wrapText="1"/>
    </xf>
    <xf numFmtId="0" fontId="0" fillId="0" borderId="43" xfId="0" applyBorder="1"/>
    <xf numFmtId="0" fontId="0" fillId="3" borderId="44" xfId="0" applyFill="1" applyBorder="1"/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8" borderId="14" xfId="0" applyFill="1" applyBorder="1"/>
    <xf numFmtId="0" fontId="0" fillId="8" borderId="45" xfId="0" applyFill="1" applyBorder="1"/>
    <xf numFmtId="2" fontId="1" fillId="0" borderId="0" xfId="1" applyNumberFormat="1" applyFont="1" applyFill="1" applyBorder="1" applyAlignment="1">
      <alignment horizontal="center"/>
    </xf>
    <xf numFmtId="0" fontId="0" fillId="4" borderId="18" xfId="0" applyFill="1" applyBorder="1" applyProtection="1">
      <protection locked="0"/>
    </xf>
    <xf numFmtId="0" fontId="0" fillId="9" borderId="46" xfId="0" applyFill="1" applyBorder="1"/>
    <xf numFmtId="0" fontId="0" fillId="3" borderId="46" xfId="0" applyFill="1" applyBorder="1"/>
    <xf numFmtId="165" fontId="0" fillId="2" borderId="1" xfId="0" applyNumberFormat="1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44" xfId="0" applyFill="1" applyBorder="1" applyProtection="1">
      <protection locked="0"/>
    </xf>
    <xf numFmtId="0" fontId="0" fillId="4" borderId="25" xfId="0" applyFill="1" applyBorder="1" applyProtection="1">
      <protection locked="0"/>
    </xf>
    <xf numFmtId="165" fontId="11" fillId="0" borderId="37" xfId="0" applyNumberFormat="1" applyFont="1" applyBorder="1"/>
    <xf numFmtId="165" fontId="11" fillId="0" borderId="54" xfId="0" applyNumberFormat="1" applyFont="1" applyBorder="1"/>
    <xf numFmtId="0" fontId="0" fillId="3" borderId="30" xfId="0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0" fillId="0" borderId="51" xfId="0" applyBorder="1"/>
    <xf numFmtId="0" fontId="0" fillId="0" borderId="52" xfId="0" applyBorder="1"/>
    <xf numFmtId="2" fontId="0" fillId="0" borderId="52" xfId="0" applyNumberFormat="1" applyBorder="1"/>
    <xf numFmtId="49" fontId="1" fillId="10" borderId="55" xfId="0" applyNumberFormat="1" applyFont="1" applyFill="1" applyBorder="1"/>
    <xf numFmtId="0" fontId="0" fillId="7" borderId="56" xfId="0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2" fontId="0" fillId="7" borderId="59" xfId="0" applyNumberFormat="1" applyFill="1" applyBorder="1" applyProtection="1">
      <protection locked="0"/>
    </xf>
    <xf numFmtId="0" fontId="1" fillId="0" borderId="0" xfId="0" applyFont="1"/>
    <xf numFmtId="0" fontId="0" fillId="0" borderId="49" xfId="0" applyBorder="1"/>
    <xf numFmtId="0" fontId="0" fillId="3" borderId="62" xfId="0" applyFill="1" applyBorder="1"/>
    <xf numFmtId="165" fontId="0" fillId="8" borderId="0" xfId="0" applyNumberFormat="1" applyFill="1" applyProtection="1">
      <protection locked="0"/>
    </xf>
    <xf numFmtId="2" fontId="0" fillId="3" borderId="63" xfId="0" applyNumberFormat="1" applyFill="1" applyBorder="1" applyAlignment="1">
      <alignment horizontal="right"/>
    </xf>
    <xf numFmtId="2" fontId="0" fillId="11" borderId="64" xfId="0" applyNumberFormat="1" applyFill="1" applyBorder="1" applyAlignment="1" applyProtection="1">
      <alignment horizontal="center"/>
      <protection locked="0"/>
    </xf>
    <xf numFmtId="0" fontId="0" fillId="3" borderId="65" xfId="0" applyFill="1" applyBorder="1"/>
    <xf numFmtId="2" fontId="0" fillId="11" borderId="0" xfId="0" applyNumberFormat="1" applyFill="1" applyProtection="1">
      <protection locked="0"/>
    </xf>
    <xf numFmtId="2" fontId="1" fillId="11" borderId="0" xfId="0" applyNumberFormat="1" applyFont="1" applyFill="1" applyProtection="1">
      <protection locked="0"/>
    </xf>
    <xf numFmtId="0" fontId="7" fillId="3" borderId="65" xfId="0" applyFont="1" applyFill="1" applyBorder="1"/>
    <xf numFmtId="2" fontId="11" fillId="0" borderId="1" xfId="0" applyNumberFormat="1" applyFont="1" applyBorder="1"/>
    <xf numFmtId="0" fontId="0" fillId="3" borderId="67" xfId="0" applyFill="1" applyBorder="1"/>
    <xf numFmtId="2" fontId="11" fillId="0" borderId="14" xfId="0" applyNumberFormat="1" applyFont="1" applyBorder="1"/>
    <xf numFmtId="0" fontId="0" fillId="3" borderId="72" xfId="0" applyFill="1" applyBorder="1"/>
    <xf numFmtId="0" fontId="0" fillId="3" borderId="73" xfId="0" applyFill="1" applyBorder="1"/>
    <xf numFmtId="2" fontId="11" fillId="8" borderId="1" xfId="0" applyNumberFormat="1" applyFont="1" applyFill="1" applyBorder="1"/>
    <xf numFmtId="0" fontId="1" fillId="3" borderId="65" xfId="0" applyFont="1" applyFill="1" applyBorder="1"/>
    <xf numFmtId="0" fontId="0" fillId="3" borderId="74" xfId="0" applyFill="1" applyBorder="1"/>
    <xf numFmtId="2" fontId="0" fillId="0" borderId="0" xfId="0" quotePrefix="1" applyNumberFormat="1"/>
    <xf numFmtId="2" fontId="0" fillId="3" borderId="1" xfId="0" applyNumberFormat="1" applyFill="1" applyBorder="1"/>
    <xf numFmtId="0" fontId="0" fillId="3" borderId="75" xfId="0" applyFill="1" applyBorder="1"/>
    <xf numFmtId="2" fontId="0" fillId="0" borderId="76" xfId="0" applyNumberFormat="1" applyBorder="1"/>
    <xf numFmtId="2" fontId="0" fillId="3" borderId="76" xfId="0" applyNumberFormat="1" applyFill="1" applyBorder="1"/>
    <xf numFmtId="169" fontId="0" fillId="0" borderId="0" xfId="0" applyNumberFormat="1"/>
    <xf numFmtId="0" fontId="0" fillId="8" borderId="0" xfId="0" applyFill="1"/>
    <xf numFmtId="0" fontId="0" fillId="0" borderId="1" xfId="0" applyBorder="1"/>
    <xf numFmtId="49" fontId="0" fillId="0" borderId="0" xfId="0" applyNumberFormat="1"/>
    <xf numFmtId="0" fontId="0" fillId="1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170" fontId="0" fillId="13" borderId="1" xfId="0" applyNumberFormat="1" applyFill="1" applyBorder="1" applyAlignment="1" applyProtection="1">
      <alignment horizontal="center"/>
      <protection locked="0"/>
    </xf>
    <xf numFmtId="166" fontId="0" fillId="13" borderId="1" xfId="0" applyNumberFormat="1" applyFill="1" applyBorder="1" applyAlignment="1" applyProtection="1">
      <alignment horizontal="left"/>
      <protection locked="0"/>
    </xf>
    <xf numFmtId="14" fontId="0" fillId="13" borderId="1" xfId="0" applyNumberFormat="1" applyFill="1" applyBorder="1" applyProtection="1">
      <protection locked="0"/>
    </xf>
    <xf numFmtId="17" fontId="0" fillId="0" borderId="1" xfId="0" applyNumberFormat="1" applyBorder="1" applyAlignment="1">
      <alignment horizontal="right"/>
    </xf>
    <xf numFmtId="17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0" fillId="0" borderId="1" xfId="0" quotePrefix="1" applyNumberFormat="1" applyBorder="1"/>
    <xf numFmtId="166" fontId="0" fillId="0" borderId="1" xfId="0" applyNumberFormat="1" applyBorder="1" applyAlignment="1">
      <alignment horizontal="center"/>
    </xf>
    <xf numFmtId="49" fontId="7" fillId="0" borderId="1" xfId="0" applyNumberFormat="1" applyFont="1" applyBorder="1"/>
    <xf numFmtId="166" fontId="0" fillId="13" borderId="1" xfId="0" applyNumberFormat="1" applyFill="1" applyBorder="1" applyAlignment="1" applyProtection="1">
      <alignment horizontal="center"/>
      <protection locked="0"/>
    </xf>
    <xf numFmtId="166" fontId="0" fillId="14" borderId="1" xfId="0" applyNumberFormat="1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85" xfId="0" applyBorder="1"/>
    <xf numFmtId="0" fontId="0" fillId="0" borderId="83" xfId="0" applyBorder="1"/>
    <xf numFmtId="0" fontId="0" fillId="0" borderId="0" xfId="0" applyAlignment="1">
      <alignment wrapText="1"/>
    </xf>
    <xf numFmtId="0" fontId="0" fillId="0" borderId="26" xfId="0" applyBorder="1" applyAlignment="1">
      <alignment horizontal="left" indent="2"/>
    </xf>
    <xf numFmtId="0" fontId="0" fillId="0" borderId="26" xfId="0" applyBorder="1" applyAlignment="1">
      <alignment wrapText="1"/>
    </xf>
    <xf numFmtId="0" fontId="0" fillId="0" borderId="36" xfId="0" applyBorder="1"/>
    <xf numFmtId="0" fontId="0" fillId="0" borderId="84" xfId="0" applyBorder="1"/>
    <xf numFmtId="0" fontId="0" fillId="0" borderId="44" xfId="0" applyBorder="1"/>
    <xf numFmtId="0" fontId="0" fillId="0" borderId="85" xfId="0" applyBorder="1" applyAlignment="1">
      <alignment horizontal="left" indent="3"/>
    </xf>
    <xf numFmtId="0" fontId="0" fillId="0" borderId="36" xfId="0" applyBorder="1" applyAlignment="1">
      <alignment horizontal="left" wrapText="1"/>
    </xf>
    <xf numFmtId="166" fontId="15" fillId="0" borderId="30" xfId="0" applyNumberFormat="1" applyFont="1" applyBorder="1"/>
    <xf numFmtId="166" fontId="23" fillId="0" borderId="6" xfId="0" applyNumberFormat="1" applyFont="1" applyBorder="1" applyAlignment="1">
      <alignment horizontal="right"/>
    </xf>
    <xf numFmtId="166" fontId="23" fillId="0" borderId="87" xfId="0" applyNumberFormat="1" applyFont="1" applyBorder="1" applyAlignment="1">
      <alignment horizontal="right"/>
    </xf>
    <xf numFmtId="0" fontId="0" fillId="0" borderId="47" xfId="0" applyBorder="1"/>
    <xf numFmtId="0" fontId="0" fillId="0" borderId="77" xfId="0" applyBorder="1"/>
    <xf numFmtId="166" fontId="0" fillId="0" borderId="0" xfId="0" applyNumberForma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2" borderId="6" xfId="0" applyFill="1" applyBorder="1" applyProtection="1">
      <protection locked="0"/>
    </xf>
    <xf numFmtId="168" fontId="0" fillId="0" borderId="0" xfId="0" applyNumberFormat="1"/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0" fontId="0" fillId="0" borderId="88" xfId="0" applyBorder="1"/>
    <xf numFmtId="0" fontId="0" fillId="2" borderId="2" xfId="0" applyFill="1" applyBorder="1" applyProtection="1">
      <protection locked="0"/>
    </xf>
    <xf numFmtId="14" fontId="0" fillId="2" borderId="87" xfId="0" applyNumberFormat="1" applyFill="1" applyBorder="1" applyProtection="1">
      <protection locked="0"/>
    </xf>
    <xf numFmtId="0" fontId="15" fillId="0" borderId="70" xfId="0" applyFont="1" applyBorder="1"/>
    <xf numFmtId="166" fontId="15" fillId="0" borderId="70" xfId="0" applyNumberFormat="1" applyFont="1" applyBorder="1"/>
    <xf numFmtId="14" fontId="0" fillId="2" borderId="85" xfId="0" applyNumberFormat="1" applyFill="1" applyBorder="1" applyAlignment="1" applyProtection="1">
      <alignment horizontal="center"/>
      <protection locked="0"/>
    </xf>
    <xf numFmtId="0" fontId="0" fillId="2" borderId="85" xfId="0" applyFill="1" applyBorder="1" applyAlignment="1" applyProtection="1">
      <alignment horizontal="center"/>
      <protection locked="0"/>
    </xf>
    <xf numFmtId="0" fontId="0" fillId="0" borderId="85" xfId="0" applyBorder="1" applyAlignment="1">
      <alignment horizontal="center" vertical="center"/>
    </xf>
    <xf numFmtId="0" fontId="0" fillId="0" borderId="85" xfId="0" applyBorder="1" applyAlignment="1">
      <alignment horizontal="center"/>
    </xf>
    <xf numFmtId="10" fontId="0" fillId="0" borderId="85" xfId="0" applyNumberFormat="1" applyBorder="1" applyAlignment="1">
      <alignment horizontal="center"/>
    </xf>
    <xf numFmtId="0" fontId="0" fillId="2" borderId="36" xfId="0" applyFill="1" applyBorder="1" applyAlignment="1" applyProtection="1">
      <alignment horizontal="center"/>
      <protection locked="0"/>
    </xf>
    <xf numFmtId="1" fontId="0" fillId="2" borderId="85" xfId="0" applyNumberFormat="1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2" borderId="8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9" xfId="0" applyFill="1" applyBorder="1" applyAlignment="1" applyProtection="1">
      <alignment horizontal="center"/>
      <protection locked="0"/>
    </xf>
    <xf numFmtId="0" fontId="0" fillId="0" borderId="86" xfId="0" applyBorder="1"/>
    <xf numFmtId="0" fontId="0" fillId="0" borderId="26" xfId="0" quotePrefix="1" applyBorder="1"/>
    <xf numFmtId="0" fontId="15" fillId="0" borderId="30" xfId="0" quotePrefix="1" applyFont="1" applyBorder="1"/>
    <xf numFmtId="0" fontId="23" fillId="0" borderId="6" xfId="0" quotePrefix="1" applyFont="1" applyBorder="1"/>
    <xf numFmtId="0" fontId="23" fillId="0" borderId="87" xfId="0" quotePrefix="1" applyFont="1" applyBorder="1"/>
    <xf numFmtId="0" fontId="0" fillId="0" borderId="47" xfId="0" quotePrefix="1" applyBorder="1"/>
    <xf numFmtId="0" fontId="0" fillId="0" borderId="90" xfId="0" applyBorder="1"/>
    <xf numFmtId="0" fontId="0" fillId="0" borderId="91" xfId="0" applyBorder="1"/>
    <xf numFmtId="166" fontId="0" fillId="0" borderId="91" xfId="0" applyNumberFormat="1" applyBorder="1"/>
    <xf numFmtId="0" fontId="0" fillId="0" borderId="25" xfId="0" applyBorder="1"/>
    <xf numFmtId="166" fontId="0" fillId="0" borderId="77" xfId="0" applyNumberFormat="1" applyBorder="1"/>
    <xf numFmtId="0" fontId="0" fillId="0" borderId="90" xfId="0" quotePrefix="1" applyBorder="1"/>
    <xf numFmtId="166" fontId="0" fillId="0" borderId="79" xfId="0" applyNumberFormat="1" applyBorder="1"/>
    <xf numFmtId="166" fontId="0" fillId="0" borderId="25" xfId="0" applyNumberFormat="1" applyBorder="1"/>
    <xf numFmtId="166" fontId="0" fillId="0" borderId="77" xfId="0" quotePrefix="1" applyNumberFormat="1" applyBorder="1"/>
    <xf numFmtId="0" fontId="0" fillId="0" borderId="78" xfId="0" quotePrefix="1" applyBorder="1"/>
    <xf numFmtId="0" fontId="0" fillId="0" borderId="40" xfId="0" applyBorder="1"/>
    <xf numFmtId="0" fontId="0" fillId="0" borderId="91" xfId="0" applyBorder="1" applyAlignment="1">
      <alignment horizontal="right"/>
    </xf>
    <xf numFmtId="166" fontId="0" fillId="0" borderId="21" xfId="0" applyNumberFormat="1" applyBorder="1"/>
    <xf numFmtId="166" fontId="0" fillId="0" borderId="18" xfId="0" applyNumberFormat="1" applyBorder="1"/>
    <xf numFmtId="0" fontId="0" fillId="0" borderId="90" xfId="0" quotePrefix="1" applyBorder="1" applyAlignment="1">
      <alignment horizontal="left"/>
    </xf>
    <xf numFmtId="0" fontId="0" fillId="0" borderId="47" xfId="0" quotePrefix="1" applyBorder="1" applyAlignment="1">
      <alignment horizontal="left"/>
    </xf>
    <xf numFmtId="0" fontId="0" fillId="0" borderId="78" xfId="0" quotePrefix="1" applyBorder="1" applyAlignment="1">
      <alignment horizontal="left"/>
    </xf>
    <xf numFmtId="0" fontId="18" fillId="2" borderId="71" xfId="0" applyFont="1" applyFill="1" applyBorder="1" applyAlignment="1" applyProtection="1">
      <alignment horizontal="center"/>
      <protection locked="0"/>
    </xf>
    <xf numFmtId="0" fontId="18" fillId="2" borderId="30" xfId="0" applyFont="1" applyFill="1" applyBorder="1" applyAlignment="1">
      <alignment horizontal="center"/>
    </xf>
    <xf numFmtId="0" fontId="0" fillId="0" borderId="90" xfId="0" quotePrefix="1" applyBorder="1" applyAlignment="1">
      <alignment horizontal="left" indent="1"/>
    </xf>
    <xf numFmtId="0" fontId="0" fillId="0" borderId="47" xfId="0" quotePrefix="1" applyBorder="1" applyAlignment="1">
      <alignment horizontal="left" indent="1"/>
    </xf>
    <xf numFmtId="0" fontId="0" fillId="0" borderId="47" xfId="0" applyBorder="1" applyAlignment="1">
      <alignment horizontal="left" indent="1"/>
    </xf>
    <xf numFmtId="0" fontId="0" fillId="0" borderId="78" xfId="0" applyBorder="1" applyAlignment="1">
      <alignment horizontal="left" indent="1"/>
    </xf>
    <xf numFmtId="166" fontId="0" fillId="0" borderId="47" xfId="0" applyNumberFormat="1" applyBorder="1" applyAlignment="1">
      <alignment horizontal="left" indent="1"/>
    </xf>
    <xf numFmtId="166" fontId="0" fillId="0" borderId="40" xfId="0" applyNumberFormat="1" applyBorder="1" applyAlignment="1">
      <alignment horizontal="left" indent="1"/>
    </xf>
    <xf numFmtId="0" fontId="0" fillId="0" borderId="78" xfId="0" quotePrefix="1" applyBorder="1" applyAlignment="1">
      <alignment horizontal="left" indent="1"/>
    </xf>
    <xf numFmtId="166" fontId="0" fillId="0" borderId="91" xfId="0" quotePrefix="1" applyNumberFormat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79" xfId="0" quotePrefix="1" applyNumberFormat="1" applyBorder="1" applyAlignment="1">
      <alignment horizontal="right"/>
    </xf>
    <xf numFmtId="166" fontId="0" fillId="0" borderId="25" xfId="0" quotePrefix="1" applyNumberFormat="1" applyBorder="1" applyAlignment="1">
      <alignment horizontal="right"/>
    </xf>
    <xf numFmtId="166" fontId="0" fillId="0" borderId="77" xfId="0" quotePrefix="1" applyNumberFormat="1" applyBorder="1" applyAlignment="1">
      <alignment horizontal="right"/>
    </xf>
    <xf numFmtId="166" fontId="0" fillId="0" borderId="80" xfId="0" quotePrefix="1" applyNumberFormat="1" applyBorder="1" applyAlignment="1">
      <alignment horizontal="right"/>
    </xf>
    <xf numFmtId="0" fontId="0" fillId="0" borderId="47" xfId="0" applyBorder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166" fontId="0" fillId="0" borderId="90" xfId="0" applyNumberFormat="1" applyBorder="1" applyAlignment="1">
      <alignment horizontal="left" indent="1"/>
    </xf>
    <xf numFmtId="0" fontId="19" fillId="0" borderId="0" xfId="0" applyFont="1"/>
    <xf numFmtId="14" fontId="1" fillId="2" borderId="0" xfId="0" applyNumberFormat="1" applyFont="1" applyFill="1" applyProtection="1">
      <protection locked="0"/>
    </xf>
    <xf numFmtId="9" fontId="0" fillId="0" borderId="0" xfId="0" applyNumberFormat="1"/>
    <xf numFmtId="0" fontId="0" fillId="2" borderId="85" xfId="0" applyFill="1" applyBorder="1" applyProtection="1">
      <protection locked="0"/>
    </xf>
    <xf numFmtId="0" fontId="0" fillId="0" borderId="0" xfId="0" applyAlignment="1">
      <alignment horizontal="left" indent="1"/>
    </xf>
    <xf numFmtId="7" fontId="0" fillId="0" borderId="77" xfId="0" applyNumberFormat="1" applyBorder="1"/>
    <xf numFmtId="166" fontId="0" fillId="0" borderId="85" xfId="0" applyNumberFormat="1" applyBorder="1"/>
    <xf numFmtId="166" fontId="0" fillId="0" borderId="36" xfId="0" applyNumberFormat="1" applyBorder="1"/>
    <xf numFmtId="2" fontId="0" fillId="0" borderId="79" xfId="0" applyNumberFormat="1" applyBorder="1"/>
    <xf numFmtId="2" fontId="0" fillId="0" borderId="92" xfId="0" applyNumberFormat="1" applyBorder="1" applyAlignment="1">
      <alignment horizontal="center"/>
    </xf>
    <xf numFmtId="0" fontId="0" fillId="0" borderId="93" xfId="0" applyBorder="1" applyAlignment="1">
      <alignment horizontal="center"/>
    </xf>
    <xf numFmtId="2" fontId="0" fillId="0" borderId="93" xfId="0" applyNumberFormat="1" applyBorder="1" applyAlignment="1">
      <alignment horizontal="center"/>
    </xf>
    <xf numFmtId="2" fontId="26" fillId="0" borderId="8" xfId="0" applyNumberFormat="1" applyFont="1" applyBorder="1" applyAlignment="1">
      <alignment horizontal="right"/>
    </xf>
    <xf numFmtId="2" fontId="26" fillId="0" borderId="11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0" fillId="0" borderId="89" xfId="0" applyBorder="1"/>
    <xf numFmtId="4" fontId="0" fillId="0" borderId="7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94" xfId="0" applyNumberFormat="1" applyBorder="1" applyAlignment="1">
      <alignment horizontal="center"/>
    </xf>
    <xf numFmtId="2" fontId="0" fillId="0" borderId="95" xfId="0" applyNumberFormat="1" applyBorder="1" applyAlignment="1">
      <alignment horizontal="center"/>
    </xf>
    <xf numFmtId="2" fontId="0" fillId="0" borderId="9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0" fillId="0" borderId="0" xfId="0" applyFont="1"/>
    <xf numFmtId="0" fontId="27" fillId="0" borderId="30" xfId="0" applyFont="1" applyBorder="1" applyAlignment="1">
      <alignment horizontal="left" vertical="center" wrapText="1"/>
    </xf>
    <xf numFmtId="14" fontId="0" fillId="0" borderId="1" xfId="0" applyNumberFormat="1" applyBorder="1"/>
    <xf numFmtId="0" fontId="0" fillId="0" borderId="21" xfId="0" applyBorder="1"/>
    <xf numFmtId="14" fontId="0" fillId="0" borderId="91" xfId="0" applyNumberFormat="1" applyBorder="1"/>
    <xf numFmtId="0" fontId="27" fillId="0" borderId="1" xfId="0" applyFont="1" applyBorder="1" applyAlignment="1">
      <alignment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8" fillId="0" borderId="81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7" fillId="12" borderId="16" xfId="0" applyFont="1" applyFill="1" applyBorder="1" applyAlignment="1">
      <alignment horizontal="center" wrapText="1"/>
    </xf>
    <xf numFmtId="0" fontId="17" fillId="12" borderId="82" xfId="0" applyFont="1" applyFill="1" applyBorder="1" applyAlignment="1">
      <alignment horizontal="center" wrapText="1"/>
    </xf>
    <xf numFmtId="0" fontId="22" fillId="0" borderId="2" xfId="0" quotePrefix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12" borderId="17" xfId="0" applyFont="1" applyFill="1" applyBorder="1" applyAlignment="1">
      <alignment horizontal="center"/>
    </xf>
    <xf numFmtId="0" fontId="20" fillId="12" borderId="23" xfId="0" applyFont="1" applyFill="1" applyBorder="1" applyAlignment="1">
      <alignment horizontal="center"/>
    </xf>
    <xf numFmtId="0" fontId="24" fillId="0" borderId="81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17" fillId="12" borderId="16" xfId="0" applyFont="1" applyFill="1" applyBorder="1" applyAlignment="1">
      <alignment horizontal="center"/>
    </xf>
    <xf numFmtId="0" fontId="17" fillId="12" borderId="82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81" xfId="0" quotePrefix="1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14" fillId="0" borderId="81" xfId="0" quotePrefix="1" applyFont="1" applyBorder="1" applyAlignment="1">
      <alignment horizontal="left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25" fillId="0" borderId="0" xfId="0" applyFont="1" applyAlignment="1">
      <alignment horizontal="center" wrapText="1"/>
    </xf>
    <xf numFmtId="0" fontId="0" fillId="0" borderId="47" xfId="0" quotePrefix="1" applyBorder="1" applyAlignment="1">
      <alignment horizontal="center" wrapText="1"/>
    </xf>
    <xf numFmtId="0" fontId="0" fillId="0" borderId="77" xfId="0" quotePrefix="1" applyBorder="1" applyAlignment="1">
      <alignment horizontal="center" wrapText="1"/>
    </xf>
    <xf numFmtId="0" fontId="18" fillId="0" borderId="30" xfId="0" applyFont="1" applyBorder="1" applyAlignment="1">
      <alignment horizontal="center"/>
    </xf>
    <xf numFmtId="0" fontId="20" fillId="0" borderId="47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77" xfId="0" applyFont="1" applyBorder="1" applyAlignment="1">
      <alignment horizontal="center" wrapText="1"/>
    </xf>
    <xf numFmtId="0" fontId="20" fillId="0" borderId="78" xfId="0" applyFont="1" applyBorder="1" applyAlignment="1">
      <alignment horizontal="center" wrapText="1"/>
    </xf>
    <xf numFmtId="0" fontId="20" fillId="0" borderId="79" xfId="0" applyFont="1" applyBorder="1" applyAlignment="1">
      <alignment horizontal="center" wrapText="1"/>
    </xf>
    <xf numFmtId="0" fontId="20" fillId="0" borderId="80" xfId="0" applyFont="1" applyBorder="1" applyAlignment="1">
      <alignment horizontal="center" wrapText="1"/>
    </xf>
    <xf numFmtId="0" fontId="0" fillId="0" borderId="0" xfId="0" quotePrefix="1" applyAlignment="1">
      <alignment horizontal="center" wrapText="1"/>
    </xf>
    <xf numFmtId="0" fontId="0" fillId="0" borderId="40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18" xfId="0" quotePrefix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40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166" fontId="0" fillId="0" borderId="40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 wrapText="1"/>
    </xf>
    <xf numFmtId="49" fontId="0" fillId="0" borderId="40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 vertical="top" wrapText="1"/>
    </xf>
    <xf numFmtId="0" fontId="0" fillId="0" borderId="26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3" borderId="60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0" fillId="3" borderId="3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3" borderId="48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8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2" fontId="12" fillId="0" borderId="0" xfId="0" applyNumberFormat="1" applyFont="1" applyAlignment="1">
      <alignment horizont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2" fontId="13" fillId="0" borderId="48" xfId="0" quotePrefix="1" applyNumberFormat="1" applyFont="1" applyBorder="1" applyAlignment="1">
      <alignment horizontal="center"/>
    </xf>
    <xf numFmtId="2" fontId="13" fillId="0" borderId="49" xfId="0" quotePrefix="1" applyNumberFormat="1" applyFont="1" applyBorder="1" applyAlignment="1">
      <alignment horizontal="center"/>
    </xf>
    <xf numFmtId="2" fontId="13" fillId="0" borderId="50" xfId="0" quotePrefix="1" applyNumberFormat="1" applyFont="1" applyBorder="1" applyAlignment="1">
      <alignment horizontal="center"/>
    </xf>
    <xf numFmtId="2" fontId="13" fillId="0" borderId="51" xfId="0" quotePrefix="1" applyNumberFormat="1" applyFont="1" applyBorder="1" applyAlignment="1">
      <alignment horizontal="center"/>
    </xf>
    <xf numFmtId="2" fontId="13" fillId="0" borderId="52" xfId="0" quotePrefix="1" applyNumberFormat="1" applyFont="1" applyBorder="1" applyAlignment="1">
      <alignment horizontal="center"/>
    </xf>
    <xf numFmtId="2" fontId="13" fillId="0" borderId="53" xfId="0" quotePrefix="1" applyNumberFormat="1" applyFont="1" applyBorder="1" applyAlignment="1">
      <alignment horizontal="center"/>
    </xf>
    <xf numFmtId="2" fontId="1" fillId="0" borderId="66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0" fillId="3" borderId="69" xfId="0" applyFill="1" applyBorder="1" applyAlignment="1">
      <alignment horizontal="center"/>
    </xf>
    <xf numFmtId="0" fontId="0" fillId="3" borderId="70" xfId="0" applyFill="1" applyBorder="1" applyAlignment="1">
      <alignment horizontal="center"/>
    </xf>
    <xf numFmtId="0" fontId="0" fillId="3" borderId="71" xfId="0" applyFill="1" applyBorder="1" applyAlignment="1">
      <alignment horizontal="center"/>
    </xf>
    <xf numFmtId="2" fontId="0" fillId="0" borderId="28" xfId="0" quotePrefix="1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11" borderId="51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7" xfId="0" quotePrefix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/>
    </xf>
    <xf numFmtId="2" fontId="1" fillId="0" borderId="47" xfId="1" applyNumberFormat="1" applyFont="1" applyFill="1" applyBorder="1" applyAlignment="1">
      <alignment horizontal="center"/>
    </xf>
    <xf numFmtId="0" fontId="0" fillId="3" borderId="30" xfId="0" applyFill="1" applyBorder="1" applyAlignment="1">
      <alignment horizontal="right"/>
    </xf>
    <xf numFmtId="2" fontId="0" fillId="15" borderId="0" xfId="0" applyNumberFormat="1" applyFill="1"/>
    <xf numFmtId="0" fontId="0" fillId="16" borderId="0" xfId="0" applyFill="1"/>
    <xf numFmtId="2" fontId="0" fillId="17" borderId="0" xfId="0" applyNumberFormat="1" applyFill="1"/>
    <xf numFmtId="0" fontId="0" fillId="15" borderId="0" xfId="0" applyFill="1"/>
    <xf numFmtId="0" fontId="5" fillId="15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8071-AC7D-4489-90DA-AAB61BC8A07E}">
  <dimension ref="A1:D16"/>
  <sheetViews>
    <sheetView tabSelected="1" zoomScaleNormal="100" workbookViewId="0">
      <selection activeCell="B1" sqref="B1"/>
    </sheetView>
  </sheetViews>
  <sheetFormatPr defaultRowHeight="14.4"/>
  <cols>
    <col min="1" max="1" width="89.21875" customWidth="1"/>
    <col min="2" max="2" width="71.109375" customWidth="1"/>
  </cols>
  <sheetData>
    <row r="1" spans="1:4" ht="43.2" customHeight="1">
      <c r="A1" s="304" t="str">
        <f>SIMUL!A1</f>
        <v>Kies hier de taal waarin u wenst verder te gaan =&gt; 
Choisissez la langue dans laquelle vous souhaitez poursuivre =&gt;</v>
      </c>
      <c r="B1" s="305"/>
      <c r="C1" t="s">
        <v>652</v>
      </c>
    </row>
    <row r="2" spans="1:4" ht="43.2" customHeight="1">
      <c r="A2" s="307" t="str">
        <f ca="1">IF(BV!Z2&gt;BV!Z1,"Version expired, please download the latest version!",(IF($B$1="","",(IF($B$1="Nederlands","Voorgeprogrammeerde simulatiemodule",(IF($B$1="Français","Module de simulation pré-programmé","")))))))</f>
        <v/>
      </c>
      <c r="B2" s="307"/>
    </row>
    <row r="4" spans="1:4">
      <c r="A4" s="170" t="str">
        <f>Gegevenslijsten!A128</f>
        <v/>
      </c>
      <c r="B4" s="301">
        <f ca="1">TODAY()</f>
        <v>46125</v>
      </c>
    </row>
    <row r="5" spans="1:4">
      <c r="A5" s="302"/>
      <c r="B5" s="303"/>
    </row>
    <row r="6" spans="1:4">
      <c r="A6" s="170" t="str">
        <f>Gegevenslijsten!A129</f>
        <v/>
      </c>
      <c r="B6" s="306"/>
      <c r="C6" t="s">
        <v>652</v>
      </c>
      <c r="D6" s="299" t="str">
        <f>IF(AND($B$1="Nederlands",B6=""),"Verplicht veld",(IF(AND($B$1="Français",B6=""),"Champ obligatoire","")))</f>
        <v/>
      </c>
    </row>
    <row r="7" spans="1:4">
      <c r="A7" s="170" t="str">
        <f>Gegevenslijsten!A130</f>
        <v/>
      </c>
      <c r="B7" s="306"/>
      <c r="C7" t="s">
        <v>652</v>
      </c>
      <c r="D7" s="299" t="str">
        <f>IF(AND($B$1="Nederlands",B7=""),"Verplicht veld",(IF(AND($B$1="Français",B7=""),"Champ obligatoire","")))</f>
        <v/>
      </c>
    </row>
    <row r="8" spans="1:4">
      <c r="A8" s="170" t="str">
        <f>Gegevenslijsten!A131</f>
        <v/>
      </c>
      <c r="B8" s="306"/>
      <c r="D8" s="299"/>
    </row>
    <row r="9" spans="1:4">
      <c r="A9" s="170" t="str">
        <f>Gegevenslijsten!A132</f>
        <v/>
      </c>
      <c r="B9" s="306"/>
      <c r="C9" t="s">
        <v>652</v>
      </c>
      <c r="D9" s="299" t="str">
        <f>IF(AND($B$1="Nederlands",B9=""),"Verplicht veld",(IF(AND($B$1="Français",B9=""),"Champ obligatoire","")))</f>
        <v/>
      </c>
    </row>
    <row r="10" spans="1:4">
      <c r="A10" s="170" t="str">
        <f>Gegevenslijsten!A133</f>
        <v/>
      </c>
      <c r="B10" s="306"/>
    </row>
    <row r="11" spans="1:4">
      <c r="A11" s="170" t="str">
        <f>Gegevenslijsten!A134</f>
        <v/>
      </c>
      <c r="B11" s="170" t="e">
        <f ca="1">SIMUL!B85</f>
        <v>#N/A</v>
      </c>
    </row>
    <row r="12" spans="1:4">
      <c r="A12" s="170" t="str">
        <f>Gegevenslijsten!A135</f>
        <v/>
      </c>
      <c r="B12" s="170" t="e">
        <f ca="1">SIMUL!B86</f>
        <v>#N/A</v>
      </c>
    </row>
    <row r="13" spans="1:4">
      <c r="A13" s="170" t="str">
        <f>Gegevenslijsten!A136</f>
        <v/>
      </c>
      <c r="B13" s="170" t="e">
        <f ca="1">SIMUL!B87</f>
        <v>#N/A</v>
      </c>
    </row>
    <row r="15" spans="1:4">
      <c r="A15" s="308" t="str">
        <f ca="1">IF(SIMUL!$EZ$1="Nederlands","Deze simulatie is onder voorbehoud en er kunnen op geen enkele wijze rechten uit deze resultaten verleend worden.",(IF(SIMUL!$EZ$1="Français","Cette simulation est provisoire et des droits ne peuvent en aucun cas être octroyés sur cette base.","")))</f>
        <v/>
      </c>
      <c r="B15" s="308"/>
    </row>
    <row r="16" spans="1:4">
      <c r="A16" s="308"/>
      <c r="B16" s="308"/>
    </row>
  </sheetData>
  <sheetProtection algorithmName="SHA-512" hashValue="SQKt2gczcnm96SOvohE3ed0x3uiTLu1NBnGh/DdRB8j3XeuNsfVZh0+mANITE2aIXaAoS3kViSuK9yHP0Cn1aw==" saltValue="T3Ogwb8zA8ibJSFWwF22rA==" spinCount="100000" sheet="1" objects="1" scenarios="1"/>
  <mergeCells count="2">
    <mergeCell ref="A2:B2"/>
    <mergeCell ref="A15:B16"/>
  </mergeCells>
  <pageMargins left="0.7" right="0.7" top="0.75" bottom="0.75" header="0.3" footer="0.3"/>
  <pageSetup paperSize="9" scale="56" orientation="portrait" horizontalDpi="300" verticalDpi="0" r:id="rId1"/>
  <colBreaks count="1" manualBreakCount="1">
    <brk id="2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DD04158-D961-450C-AB89-7C50B760C3AF}">
          <x14:formula1>
            <xm:f>Gegevenslijsten!$N$1:$N$2</xm:f>
          </x14:formula1>
          <xm:sqref>B1</xm:sqref>
        </x14:dataValidation>
        <x14:dataValidation type="list" allowBlank="1" showInputMessage="1" showErrorMessage="1" xr:uid="{C62B5687-EDCD-4BEF-826C-ED7BA8AA371A}">
          <x14:formula1>
            <xm:f>Gegevenslijsten!$A$140:$A$159</xm:f>
          </x14:formula1>
          <xm:sqref>B6</xm:sqref>
        </x14:dataValidation>
        <x14:dataValidation type="list" allowBlank="1" showInputMessage="1" showErrorMessage="1" xr:uid="{CBB4B37F-F863-4A3D-9A14-840AC6B9A013}">
          <x14:formula1>
            <xm:f>Gegevenslijsten!$A$161:$A$162</xm:f>
          </x14:formula1>
          <xm:sqref>B7</xm:sqref>
        </x14:dataValidation>
        <x14:dataValidation type="list" allowBlank="1" showInputMessage="1" showErrorMessage="1" xr:uid="{9C86881C-4D1C-4D23-AAA7-8384D5A87220}">
          <x14:formula1>
            <xm:f>Gegevenslijsten!$A$165:$A$170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78ED-48F3-49FD-B92C-0C1458745DD2}">
  <sheetPr>
    <pageSetUpPr fitToPage="1"/>
  </sheetPr>
  <dimension ref="A1:FD191"/>
  <sheetViews>
    <sheetView zoomScaleNormal="100" workbookViewId="0">
      <selection activeCell="B15" sqref="B15"/>
    </sheetView>
  </sheetViews>
  <sheetFormatPr defaultRowHeight="14.4"/>
  <cols>
    <col min="1" max="1" width="88" customWidth="1"/>
    <col min="2" max="2" width="71.6640625" bestFit="1" customWidth="1"/>
    <col min="3" max="3" width="17.109375" bestFit="1" customWidth="1"/>
    <col min="4" max="4" width="13.33203125" bestFit="1" customWidth="1"/>
    <col min="5" max="5" width="46.6640625" customWidth="1"/>
    <col min="6" max="6" width="29.88671875" customWidth="1"/>
    <col min="7" max="155" width="8.88671875" customWidth="1"/>
    <col min="156" max="156" width="15.6640625" hidden="1" customWidth="1"/>
    <col min="157" max="157" width="31.33203125" customWidth="1"/>
    <col min="158" max="158" width="16.77734375" customWidth="1"/>
    <col min="159" max="159" width="38" customWidth="1"/>
    <col min="160" max="160" width="11.88671875" bestFit="1" customWidth="1"/>
  </cols>
  <sheetData>
    <row r="1" spans="1:156" ht="42.6" thickBot="1">
      <c r="A1" s="300" t="s">
        <v>609</v>
      </c>
      <c r="B1" s="253">
        <f>'Pre-programmed simulation'!B1</f>
        <v>0</v>
      </c>
      <c r="EZ1" s="254">
        <f ca="1">IF(BV!Z2&lt;BV!Z1,B1,"")</f>
        <v>0</v>
      </c>
    </row>
    <row r="2" spans="1:156" ht="46.8" thickBot="1">
      <c r="A2" s="317" t="str">
        <f ca="1">IF(BV!Z2&gt;BV!Z1,"Version expired, please download the latest version!",(IF($EZ$1="","",(IF($EZ$1="Nederlands","Simulatiemodule",(IF($EZ$1="Français","Module de simulation","")))))))</f>
        <v/>
      </c>
      <c r="B2" s="318"/>
    </row>
    <row r="3" spans="1:156" ht="19.2" customHeight="1" thickBot="1">
      <c r="A3" s="309" t="str">
        <f ca="1">IF($EZ$1="","",(IF($EZ$1="Nederlands","BASISGEGEVENS",(IF($EZ$1="Français","DONNEES DE BASE","")))))</f>
        <v/>
      </c>
      <c r="B3" s="310"/>
    </row>
    <row r="4" spans="1:156">
      <c r="A4" s="188" t="str">
        <f ca="1">IF($EZ$1="","",(IF($EZ$1="Nederlands","Simulatie voor",(IF($EZ$1="Français","Simulation pour","")))))</f>
        <v/>
      </c>
      <c r="B4" s="219">
        <f ca="1">DATE(YEAR('Pre-programmed simulation'!B4),MONTH('Pre-programmed simulation'!B4)+1,1)</f>
        <v>46143</v>
      </c>
      <c r="C4" t="s">
        <v>223</v>
      </c>
      <c r="D4">
        <f ca="1">index</f>
        <v>2.1646999999999998</v>
      </c>
    </row>
    <row r="5" spans="1:156" ht="14.4" customHeight="1">
      <c r="A5" s="188" t="str">
        <f ca="1">IF($EZ$1="","",(IF($EZ$1="Nederlands","Statutair of contractueel?",(IF($EZ$1="Français","Statutaire ou contractuel(le)?","")))))</f>
        <v/>
      </c>
      <c r="B5" s="220">
        <f>'Pre-programmed simulation'!B7</f>
        <v>0</v>
      </c>
      <c r="C5" s="299" t="str">
        <f ca="1">IF(AND($EZ$1="Nederlands",B5=""),"Verplicht veld",(IF(AND($EZ$1="Français",B5=""),"Champ obligatoire","")))</f>
        <v/>
      </c>
    </row>
    <row r="6" spans="1:156" ht="14.4" customHeight="1">
      <c r="A6" s="188" t="str">
        <f ca="1">IF($EZ$1="","",(IF($EZ$1="Nederlands","Loonschaal",(IF($EZ$1="Français","Echelle de traitement","")))))</f>
        <v/>
      </c>
      <c r="B6" s="220" t="e">
        <f>Gegevenslijsten!E140</f>
        <v>#N/A</v>
      </c>
      <c r="C6" s="299" t="e">
        <f ca="1">IF(AND($EZ$1="Nederlands",B6=""),"Verplicht veld",(IF(AND($EZ$1="Français",B6=""),"Champ obligatoire","")))</f>
        <v>#N/A</v>
      </c>
    </row>
    <row r="7" spans="1:156" ht="14.4" customHeight="1">
      <c r="A7" s="188" t="str">
        <f ca="1">IF($EZ$1="","",(IF($EZ$1="Nederlands","Geldelijke anciënniteit",(IF($EZ$1="Français","Ancienneté pécuniaire","")))))</f>
        <v/>
      </c>
      <c r="B7" s="219">
        <f ca="1">DATE(YEAR(B4)-'Pre-programmed simulation'!B8,MONTH(B4),1)</f>
        <v>46143</v>
      </c>
      <c r="C7" s="299" t="str">
        <f ca="1">IF(AND($EZ$1="Nederlands",B7=""),"Verplicht veld",(IF(AND($EZ$1="Français",B7=""),"Champ obligatoire","")))</f>
        <v/>
      </c>
      <c r="D7">
        <f ca="1">IF(B7="",0,BBSZ!C4)</f>
        <v>0</v>
      </c>
      <c r="E7" t="str">
        <f ca="1">IF($EZ$1="","",(IF($EZ$1="Nederlands","trap",(IF($EZ$1="Français","Echelon","")))))</f>
        <v/>
      </c>
    </row>
    <row r="8" spans="1:156">
      <c r="A8" s="188" t="str">
        <f ca="1">IF($EZ$1="","",(IF($EZ$1="Nederlands","Jaarwedde",(IF($EZ$1="Français","Base annuelle","")))))</f>
        <v/>
      </c>
      <c r="B8" s="221" t="e">
        <f ca="1">INDEX(Loonschalen!B$3:EA$34,(MATCH(D7,Loonschalen!$A$3:$A$34,0)),(MATCH(B6,Loonschalen!$B$2:$EA$2,0)))</f>
        <v>#N/A</v>
      </c>
      <c r="D8" t="e">
        <f ca="1">B8</f>
        <v>#N/A</v>
      </c>
    </row>
    <row r="9" spans="1:156">
      <c r="A9" s="188" t="str">
        <f ca="1">IF($EZ$1="","",(IF($EZ$1="Nederlands","Haard-/Standplaatstoelage",(IF($EZ$1="Français","Allocation foyer/résidence","")))))</f>
        <v/>
      </c>
      <c r="B9" s="220" t="str">
        <f ca="1">Gegevenslijsten!A27</f>
        <v/>
      </c>
      <c r="C9" s="299" t="str">
        <f ca="1">IF(AND($EZ$1="Nederlands",B9=""),"Verplicht veld",(IF(AND($EZ$1="Français",B9=""),"Champ obligatoire","")))</f>
        <v/>
      </c>
      <c r="D9">
        <f ca="1">IF(B9="",0,BBSZ!B17)</f>
        <v>0</v>
      </c>
    </row>
    <row r="10" spans="1:156">
      <c r="A10" s="188"/>
      <c r="B10" s="222"/>
    </row>
    <row r="11" spans="1:156">
      <c r="A11" s="188" t="str">
        <f ca="1">IF($EZ$1="","",(IF($EZ$1="Nederlands","Aantal uren per week in decimalen",(IF($EZ$1="Français","Nombre d'heures par semaine en décimales","")))))</f>
        <v/>
      </c>
      <c r="B11" s="220">
        <v>38</v>
      </c>
      <c r="D11" s="1">
        <f>B11/38</f>
        <v>1</v>
      </c>
    </row>
    <row r="12" spans="1:156">
      <c r="A12" s="188" t="str">
        <f ca="1">IF($EZ$1="","",(IF($EZ$1="Nederlands","Tewerkstellingspercentage",(IF($EZ$1="Français","Pourcentage de mise au travail","")))))</f>
        <v/>
      </c>
      <c r="B12" s="223">
        <f ca="1">ROUND(B11*'SIMUL SSGPI'!B8/(38*'SIMUL SSGPI'!B9),4)</f>
        <v>1</v>
      </c>
    </row>
    <row r="13" spans="1:156">
      <c r="A13" s="188"/>
      <c r="B13" s="222"/>
    </row>
    <row r="14" spans="1:156">
      <c r="A14" s="188" t="str">
        <f ca="1">IF(AND(B11=30.4,$EZ$1="Nederlands"),"Betreft het een stelsel vierdagenweek MET premie?",(IF(AND(B11=30.4,$EZ$1="Français"),"S'agit-il d'un régime de 4/5ème AVEC prime?","")))</f>
        <v/>
      </c>
      <c r="B14" s="220"/>
      <c r="D14">
        <f>IF(AND(B11=30.4,(OR(B14="ja",B14="oui"))),70.14,0)</f>
        <v>0</v>
      </c>
    </row>
    <row r="15" spans="1:156" ht="15" thickBot="1">
      <c r="A15" s="190" t="str">
        <f ca="1">IF(AND(B5="statutair",B11=19,$EZ$1="Nederlands"),"Gaat het om het stelsel halftijds werken vanaf 55 jaar MET premie?",(IF(AND(B5="Statutaire",B11=19,$EZ$1="Français"),"S'agit-il du régime du travail à mi-temps à partir de 55 ans AVEC prime?","")))</f>
        <v/>
      </c>
      <c r="B15" s="224"/>
      <c r="D15">
        <f>IF(AND(B11=19,(OR(B15="ja",B15="oui"))),295.99,0)</f>
        <v>0</v>
      </c>
    </row>
    <row r="16" spans="1:156" ht="15" thickBot="1"/>
    <row r="17" spans="1:5" ht="21.6" thickBot="1">
      <c r="A17" s="309" t="str">
        <f ca="1">IF($EZ$1="","",(IF($EZ$1="Nederlands","TOELAGEN",(IF($EZ$1="Français","ALLOCATIONS","")))))</f>
        <v/>
      </c>
      <c r="B17" s="310"/>
    </row>
    <row r="18" spans="1:5">
      <c r="A18" s="319" t="str">
        <f ca="1">IF($EZ$1="","",(IF($EZ$1="Nederlands","Functietoelagen",(IF($EZ$1="Français","Allocations de fonction","")))))</f>
        <v/>
      </c>
      <c r="B18" s="320"/>
    </row>
    <row r="19" spans="1:5" ht="14.4" customHeight="1">
      <c r="A19" s="188" t="str">
        <f ca="1">IF($EZ$1="","",(IF($EZ$1="Nederlands","Functietoelage",(IF($EZ$1="Français","Allocation de fonction","")))))</f>
        <v/>
      </c>
      <c r="B19" s="220"/>
      <c r="D19">
        <f>IF(B19="",0,(INDEX(Gegevenslijsten!B$37:K$54,(MATCH(SIMUL!B19,Gegevenslijsten!$A$37:$A$54,0)),(MATCH(Loonschalen!C47,Gegevenslijsten!$B$36:$K$36,1)))))</f>
        <v>0</v>
      </c>
      <c r="E19" s="191"/>
    </row>
    <row r="20" spans="1:5">
      <c r="A20" s="188" t="str">
        <f ca="1">IF(AND(Gegevenslijsten!O35=1,$EZ$1="Nederlands"),"Heeft u recht op de 'Toelage Luchtsteundetachement Testpiloot of monitor'?",(IF(AND(Gegevenslijsten!O35=1,$EZ$1="Français"),"Avez-vous droit à l'allocation détachement aérien, pilote d'essai ou moniteur?","")))</f>
        <v/>
      </c>
      <c r="B20" s="220"/>
      <c r="D20">
        <f>IF(OR(B20="ja",B20="oui"),892.44,0)</f>
        <v>0</v>
      </c>
    </row>
    <row r="21" spans="1:5">
      <c r="A21" s="188" t="str">
        <f ca="1">IF($EZ$1="","",(IF($EZ$1="Nederlands","Heeft u recht op de toelage AIG - In uitdoving?",(IF($EZ$1="Français","Avez-vous droit à l'allocation AIG - En Extinction?","")))))</f>
        <v/>
      </c>
      <c r="B21" s="220"/>
      <c r="D21">
        <f>IF(OR(B21="ja",B21="oui"),2500,0)</f>
        <v>0</v>
      </c>
    </row>
    <row r="22" spans="1:5">
      <c r="A22" s="188" t="str">
        <f ca="1">IF($EZ$1="","",(IF($EZ$1="Nederlands","Hebt u recht op de toelage beleidsondersteuning - In uitdoving?",(IF($EZ$1="Français","Avez-vous droit à l'allocation appui à la gestion - En extinction?","")))))</f>
        <v/>
      </c>
      <c r="B22" s="220"/>
      <c r="D22">
        <f>IF(B22="",0,(VLOOKUP(B22,Gegevenslijsten!N89:O90,2,FALSE)))</f>
        <v>0</v>
      </c>
    </row>
    <row r="23" spans="1:5">
      <c r="A23" s="188" t="str">
        <f ca="1">IF($EZ$1="","",(IF($EZ$1="Nederlands","Hebt u recht op de toelage SAT BiZa - In uitdoving?",(IF($EZ$1="Français","Avez-vous droit à l'allocation SAT Intérieur - En extinction?","")))))</f>
        <v/>
      </c>
      <c r="B23" s="220"/>
      <c r="D23">
        <f>IF(B23="",0,(VLOOKUP(B23,Gegevenslijsten!A90:B91,2,FALSE)))</f>
        <v>0</v>
      </c>
    </row>
    <row r="24" spans="1:5">
      <c r="A24" s="230" t="str">
        <f ca="1">IF($EZ$1="","",(IF($EZ$1="Nederlands","Hebt u recht op de toelage SAT justitie - In uitdoving?",(IF($EZ$1="Français","Avez-vous droit à l'allocation SAT Justice - En extinction?","")))))</f>
        <v/>
      </c>
      <c r="B24" s="229"/>
      <c r="D24">
        <f>IF(B24="",0,(VLOOKUP(B24,Gegevenslijsten!E89:H91,4,FALSE)))</f>
        <v>0</v>
      </c>
    </row>
    <row r="25" spans="1:5">
      <c r="A25" s="319" t="str">
        <f ca="1">IF($EZ$1="","",(IF($EZ$1="Nederlands","Overgangstoelagen",(IF($EZ$1="Français","Allocations transitoires","")))))</f>
        <v/>
      </c>
      <c r="B25" s="320"/>
    </row>
    <row r="26" spans="1:5">
      <c r="A26" s="188" t="str">
        <f ca="1">IF($EZ$1="","",(IF($EZ$1="Nederlands","Bijkomende toelage",(IF($EZ$1="Français","Allocation complémentaire","")))))</f>
        <v/>
      </c>
      <c r="B26" s="220"/>
      <c r="D26">
        <f>IF(B26="",0,(INDEX(Gegevenslijsten!B$57:K$59,(MATCH(SIMUL!B26,Gegevenslijsten!$A$57:$A$59,0)),(MATCH(Loonschalen!C47,Gegevenslijsten!$B$56:$K$56,1)))))</f>
        <v>0</v>
      </c>
      <c r="E26" t="str">
        <f>IF(B26="","",Gegevenslijsten!N26)</f>
        <v/>
      </c>
    </row>
    <row r="27" spans="1:5">
      <c r="A27" s="188" t="str">
        <f ca="1">IF($EZ$1="","",(IF($EZ$1="Nederlands","compenserende toelage",(IF($EZ$1="Français","Allocation Compensatoire","")))))</f>
        <v/>
      </c>
      <c r="B27" s="220"/>
      <c r="D27">
        <f>IF(OR(B27="ja",B27="oui"),(INDEX(Gegevenslijsten!B$57:K$59,(MATCH(SIMUL!A27,Gegevenslijsten!$A$57:$A$59,0)),(MATCH(Loonschalen!C47,Gegevenslijsten!$B$56:$K$56,1)))),0)</f>
        <v>0</v>
      </c>
      <c r="E27" t="str">
        <f>IF(B27="","",Gegevenslijsten!N26)</f>
        <v/>
      </c>
    </row>
    <row r="28" spans="1:5">
      <c r="A28" s="188" t="e">
        <f ca="1">IF(AND(Loonschalen!D47&gt;6.99,$EZ$1="Nederlands"),"Bent u op 01/04/2001 overgekomen van Defensie?",(IF(AND(Loonschalen!D47&gt;6.99,$EZ$1="Français"),"Avez-vous été transféré de La Défense le 01/04/2001?","")))</f>
        <v>#N/A</v>
      </c>
      <c r="B28" s="220"/>
      <c r="D28" t="e">
        <f ca="1">IF(AND(B7&lt;Gegevenslijsten!L1,(OR(B28="ja",B28="oui")),Loonschalen!D47&gt;6.99),743.68,0)</f>
        <v>#N/A</v>
      </c>
    </row>
    <row r="29" spans="1:5">
      <c r="A29" s="319" t="str">
        <f ca="1">IF($EZ$1="","",(IF($EZ$1="Nederlands","Weddebijslag voor de uitoefening van een hoger ambt",(IF($EZ$1="Français","Supplément de traitement pour l'exercice d'une fonction supérieure","")))))</f>
        <v/>
      </c>
      <c r="B29" s="320"/>
    </row>
    <row r="30" spans="1:5">
      <c r="A30" s="192" t="str">
        <f ca="1">IF($EZ$1="","",(IF($EZ$1="Nederlands","Loonschaal",(IF($EZ$1="Français","Echelle de traitement","")))))</f>
        <v/>
      </c>
      <c r="B30" s="220"/>
      <c r="D30" t="str">
        <f>IF(B30="","",(IF(AND($EZ$1="Nederlands",Loonschalen!C49&lt;0.01),"ERROR, kies een loonschaal van het direct hogere kader/niveau",(IF(AND($EZ$1="Nederlands",Loonschalen!C49&gt;1),"ERROR, kies een loonschaal van het direct hogere kader/niveau",(IF(AND($EZ$1="Français",Loonschalen!C49&lt;0.01),"ERREUR, choisissez une échelle de traitement du cadre/niveau directement supérieur",(IF(AND($EZ$1="Français",Loonschalen!C49&gt;1),"ERREUR, choisissez une échelle de traitement du cadre/niveau directement supérieur",0)))))))))</f>
        <v/>
      </c>
    </row>
    <row r="31" spans="1:5">
      <c r="A31" s="192" t="str">
        <f ca="1">IF(AND(D30=0,$EZ$1="Nederlands"),"Jaarwedde HF",(IF(AND(D30=0,$EZ$1="Français"),"Base annuele fonction supérieure","")))</f>
        <v/>
      </c>
      <c r="B31" s="222" t="str">
        <f>IF(D30=0,(INDEX(Loonschalen!B$3:EA$34,(MATCH(D7,Loonschalen!$A$3:$A$34,0)),(MATCH(B30,Loonschalen!$B$2:$EA$2,0)))),"")</f>
        <v/>
      </c>
      <c r="D31">
        <f>IF(B30="",0,(IF(AND(D30=0,E31=""),B31-B8,"")))</f>
        <v>0</v>
      </c>
      <c r="E31" t="str">
        <f>IF(B30="","",(IF(AND($EZ$1="Nederlands",D30=0,(B31-B8)&lt;1000),"Verschil is kleiner dan 1000 euro, neem de volgende loonschaal",(IF(AND($EZ$1="Français",D30=0,(B31-B8)&lt;1000),"La différence est de moins de 1000 euros, prenez l'échelle de traitement suivante","")))))</f>
        <v/>
      </c>
    </row>
    <row r="32" spans="1:5">
      <c r="A32" s="192" t="str">
        <f ca="1">IF($EZ$1="","",(IF($EZ$1="Nederlands","Type categorie Mandaat",(IF($EZ$1="Français","Catégorie (type) de mandat","")))))</f>
        <v/>
      </c>
      <c r="B32" s="220"/>
      <c r="C32">
        <f>IF(B32="",0,(INDEX(Gegevenslijsten!B$64:K$70,(MATCH(SIMUL!B32,Gegevenslijsten!$A$64:$A$70,0)),(MATCH((IF(Loonschalen!D47&gt;4.75,Loonschalen!D47,Loonschalen!D48)),Gegevenslijsten!$B$63:$K$63,1)))))</f>
        <v>0</v>
      </c>
      <c r="D32">
        <f>IF(AND(D44&lt;C32,D47&lt;C32),C32-D47-D44,0)</f>
        <v>0</v>
      </c>
    </row>
    <row r="33" spans="1:5">
      <c r="A33" s="188"/>
      <c r="B33" s="222"/>
    </row>
    <row r="34" spans="1:5">
      <c r="A34" s="319" t="str">
        <f ca="1">IF($EZ$1="","",(IF($EZ$1="Nederlands","Toelage Brussels Hoofdstedelijk Gewest",(IF($EZ$1="Français","Allocation Région Bruxelles-Capitale","")))))</f>
        <v/>
      </c>
      <c r="B34" s="320"/>
    </row>
    <row r="35" spans="1:5">
      <c r="A35" s="188" t="str">
        <f ca="1">IF($EZ$1="","",(IF($EZ$1="Nederlands","Recht op toelage Brussels Hoofdstedelijk Gewest? Type",(IF($EZ$1="Français","Droit à l'allocation Région Bruxelles-Capitale? Type","")))))</f>
        <v/>
      </c>
      <c r="B35" s="220"/>
      <c r="D35">
        <f>IF(OR(B35="",Gegevenslijsten!O35&gt;1),0,(VLOOKUP(B35,Gegevenslijsten!A74:B79,2)))</f>
        <v>0</v>
      </c>
    </row>
    <row r="36" spans="1:5">
      <c r="A36" s="188" t="e">
        <f ca="1">IF(AND(Loonschalen!E47=2,SIMUL!B35&lt;&gt;"",$EZ$1="Nederlands"),"Recht op verbintenistoelage?",(IF(AND(Loonschalen!E47=2,SIMUL!B35&lt;&gt;"",$EZ$1="Français"),"Droit à l'allocation d'engagement?","")))</f>
        <v>#N/A</v>
      </c>
      <c r="B36" s="220"/>
      <c r="D36" t="e">
        <f ca="1">IF(A36="",0,(IF(OR(B36="ja",B36="oui"),Gegevenslijsten!B79,0)))</f>
        <v>#N/A</v>
      </c>
    </row>
    <row r="37" spans="1:5">
      <c r="A37" s="319" t="str">
        <f>IF($B$1="","",(IF($B$1="Nederlands","Tweetaligheidstoelage",(IF($B$1="Français","Allocation de bilinguisme","")))))</f>
        <v/>
      </c>
      <c r="B37" s="320"/>
    </row>
    <row r="38" spans="1:5">
      <c r="A38" s="193" t="str">
        <f ca="1">IF($EZ$1="","",(IF($EZ$1="Nederlands","Voor hoeveel talen heeft u recht op een toelage nuttige tweetaligheid?",(IF($EZ$1="Français","Pour combien de langues avez-vous droit à l'allocation bilinguisme utile?","")))))</f>
        <v/>
      </c>
      <c r="B38" s="220"/>
      <c r="C38">
        <f>IF(B38&gt;0,(VLOOKUP(Loonschalen!F47,Gegevenslijsten!A82:B85,2,FALSE)),0)</f>
        <v>0</v>
      </c>
      <c r="D38">
        <f>ROUND(B38*C38,2)</f>
        <v>0</v>
      </c>
    </row>
    <row r="39" spans="1:5">
      <c r="A39" s="193" t="str">
        <f ca="1">IF($EZ$1="","",(IF($EZ$1="Nederlands","Heeft u recht op een vereiste/gewenste toelage tweetaligheid?",(IF($EZ$1="Français","Avez-vous droit à une allocation de bilinguisme exigé/souhaité?","")))))</f>
        <v/>
      </c>
      <c r="B39" s="220"/>
      <c r="D39">
        <f>IF(OR(B39="ja",B39="oui"),(VLOOKUP(Loonschalen!F47,Gegevenslijsten!A82:C86,3,FALSE)),0)</f>
        <v>0</v>
      </c>
    </row>
    <row r="40" spans="1:5">
      <c r="A40" s="188" t="e">
        <f ca="1">IF(AND(Loonschalen!F47=1,SIMUL!B39="ja",$EZ$1="Nederlands"),"Heeft u een brevet grondige kennis van de andere landstaal?",(IF(AND(Loonschalen!F47=1,SIMUL!B39="oui",$EZ$1="Français"),"Avez-vous un brevet connaissance approfondie pour une autre langue nationale?","")))</f>
        <v>#N/A</v>
      </c>
      <c r="B40" s="220"/>
    </row>
    <row r="41" spans="1:5" ht="15" thickBot="1">
      <c r="A41" s="190" t="str">
        <f ca="1">IF($EZ$1="","",(IF($EZ$1="Nederlands","Totaal tweetaligheid",(IF($EZ$1="Français","Total allocation de bilinguisme","")))))</f>
        <v/>
      </c>
      <c r="B41" s="194"/>
      <c r="D41" t="e">
        <f>IF(D38+D39&gt;(VLOOKUP(Loonschalen!F47,Gegevenslijsten!A82:D86,4,FALSE)),(VLOOKUP(Loonschalen!F47,Gegevenslijsten!A82:D86,4,FALSE)),D38+D39)</f>
        <v>#N/A</v>
      </c>
      <c r="E41" t="e">
        <f>IF((D38+D39)&gt;D41,"U kan maximaal 1,5 keer het hoogste bedrag ontvangen!","")</f>
        <v>#N/A</v>
      </c>
    </row>
    <row r="42" spans="1:5" ht="15" thickBot="1"/>
    <row r="43" spans="1:5" ht="21.6" thickBot="1">
      <c r="A43" s="309" t="str">
        <f ca="1">IF($EZ$1="","",(IF($EZ$1="Nederlands","MANDAAT",(IF($EZ$1="Français","MANDAT","")))))</f>
        <v/>
      </c>
      <c r="B43" s="310"/>
    </row>
    <row r="44" spans="1:5">
      <c r="A44" s="188" t="str">
        <f ca="1">IF($EZ$1="","",(IF($EZ$1="Nederlands","Mandaattoelage Korpschef, Directeur-generaal of Commissaris-generaal: type",(IF($EZ$1="Français","Allocation de mandat chef de corps, Directeur général ou Commissaire Général: type","")))))</f>
        <v/>
      </c>
      <c r="B44" s="225"/>
      <c r="D44">
        <f>IF(B44="",0,(INDEX(Gegevenslijsten!B$64:K$69,(MATCH(SIMUL!B44,Gegevenslijsten!$A$64:$A$69,0)),(MATCH(Loonschalen!D47,Gegevenslijsten!$B$63:$K$63,1)))))</f>
        <v>0</v>
      </c>
    </row>
    <row r="45" spans="1:5">
      <c r="A45" s="188" t="str">
        <f ca="1">IF($EZ$1="","",(IF($EZ$1="Nederlands","Toelage Bijzonder Rekenplichtige: geef jaarbedrag op",(IF($EZ$1="Français","Allocation comptable spécial: donnez le montant annuel","")))))</f>
        <v/>
      </c>
      <c r="B45" s="220"/>
      <c r="D45">
        <f>IF(D44&gt;0,0,B45)</f>
        <v>0</v>
      </c>
    </row>
    <row r="46" spans="1:5">
      <c r="A46" s="188" t="str">
        <f ca="1">IF($EZ$1="","",(IF($EZ$1="Nederlands","Toelage Secretaris: geef jaarbedrag op",(IF($EZ$1="Français","Allocation secrétaire: donnez le montant annuel","")))))</f>
        <v/>
      </c>
      <c r="B46" s="220"/>
      <c r="D46">
        <f>IF(D44&gt;0,0,B46)</f>
        <v>0</v>
      </c>
    </row>
    <row r="47" spans="1:5" ht="15" thickBot="1">
      <c r="A47" s="190" t="str">
        <f ca="1">IF($EZ$1="","",(IF($EZ$1="Nederlands","Toelage Directeur",(IF($EZ$1="Français","Allocation Directeur","")))))</f>
        <v/>
      </c>
      <c r="B47" s="224"/>
      <c r="D47">
        <f>IF(D44&gt;0,0,(IF(B47="",0,(INDEX(Gegevenslijsten!B$70:K$70,(MATCH(SIMUL!B47,Gegevenslijsten!$A$70:$A$70,0)),(MATCH(Loonschalen!D47,Gegevenslijsten!$B$63:$K$63,1)))))))</f>
        <v>0</v>
      </c>
    </row>
    <row r="48" spans="1:5" ht="15" thickBot="1"/>
    <row r="49" spans="1:6" ht="21.6" thickBot="1">
      <c r="A49" s="309" t="str">
        <f ca="1">IF($EZ$1="","",(IF($EZ$1="Nederlands","VOORDELEN ALLE AARD ",(IF($EZ$1="Français","AVANTAGES DE TOUTE NATURE","")))))</f>
        <v/>
      </c>
      <c r="B49" s="310"/>
    </row>
    <row r="50" spans="1:6" ht="15" thickBot="1">
      <c r="A50" s="195" t="str">
        <f ca="1">IF($EZ$1="","",(IF($EZ$1="Nederlands","Krijgt u ICT-devices ter beschikking die u ook privé mag gebruiken?",(IF($EZ$1="Français","Recevez-vous à disposition des ICT-Devices que vous pouvez également utiliser à titre privé?","")))))</f>
        <v/>
      </c>
      <c r="B50" s="226"/>
    </row>
    <row r="51" spans="1:6" ht="15" thickBot="1">
      <c r="A51" s="188" t="str">
        <f ca="1">IF(AND(B50="Ja",$EZ$1="Nederlands"),"Geef de waarde op van het voordeel van alle aard",(IF(AND(B50="Oui",$EZ$1="Français"),"Indiquez la valeur de l'avantage de toute nature","")))</f>
        <v/>
      </c>
      <c r="B51" s="227"/>
      <c r="D51">
        <f>IF(OR(B50="ja",B50="oui"),B51,0)</f>
        <v>0</v>
      </c>
      <c r="E51" s="324" t="str">
        <f>IF(F52="","",(IF(Gegevenslijsten!C103=1,Gegevenslijsten!G108,"")))</f>
        <v/>
      </c>
      <c r="F51" s="325"/>
    </row>
    <row r="52" spans="1:6" ht="28.2" customHeight="1">
      <c r="A52" s="311" t="str">
        <f>IF(OR(B50="Ja",B50="Oui"),Gegevenslijsten!A100,"")</f>
        <v/>
      </c>
      <c r="B52" s="312"/>
      <c r="E52" s="214" t="str">
        <f>IF(OR(B$53="ja",B$53="oui"),Gegevenslijsten!G103,"")</f>
        <v/>
      </c>
      <c r="F52" s="215"/>
    </row>
    <row r="53" spans="1:6">
      <c r="A53" s="188" t="str">
        <f ca="1">IF($EZ$1="","",(IF($EZ$1="Nederlands","Heeft u een dienstvoertuig ter beschikking voor persoonlijke aangelegenheden?",(IF($EZ$1="Français","Avez-vous un véhicule de service mis à disposition à des fins privées? ","")))))</f>
        <v/>
      </c>
      <c r="B53" s="228"/>
      <c r="D53">
        <f>IF(OR(B53="ja",B53="oui"),BBSZ!B85,0)</f>
        <v>0</v>
      </c>
      <c r="E53" s="214" t="str">
        <f>IF(OR(B$53="ja",B$53="oui"),Gegevenslijsten!G104,"")</f>
        <v/>
      </c>
      <c r="F53" s="208"/>
    </row>
    <row r="54" spans="1:6" ht="15" thickBot="1">
      <c r="A54" s="315" t="str">
        <f>IF(OR(B53="ja",B53="oui"),Gegevenslijsten!A101,"")</f>
        <v/>
      </c>
      <c r="B54" s="316"/>
      <c r="E54" s="214" t="str">
        <f>IF(OR(B$53="ja",B$53="oui"),Gegevenslijsten!G105,"")</f>
        <v/>
      </c>
      <c r="F54" s="208"/>
    </row>
    <row r="55" spans="1:6" ht="15" thickBot="1">
      <c r="E55" s="214" t="str">
        <f>IF(OR(B$53="ja",B$53="oui"),Gegevenslijsten!G106,"")</f>
        <v/>
      </c>
      <c r="F55" s="216"/>
    </row>
    <row r="56" spans="1:6" ht="21.6" customHeight="1" thickBot="1">
      <c r="A56" s="309" t="str">
        <f ca="1">IF($EZ$1="","",(IF($EZ$1="Nederlands","VERGOEDINGEN",(IF($EZ$1="Français","INDEMNITES","")))))</f>
        <v/>
      </c>
      <c r="B56" s="310"/>
      <c r="E56" s="338"/>
      <c r="F56" s="338"/>
    </row>
    <row r="57" spans="1:6">
      <c r="A57" s="196" t="str">
        <f ca="1">IF($EZ$1="","",(IF($EZ$1="Nederlands","Recht telefoonvergoeding",(IF($EZ$1="Français","Droit à l'indemnité de téléphone?","")))))</f>
        <v/>
      </c>
      <c r="B57" s="226"/>
      <c r="D57">
        <f>IF(OR(B57="ja",B57="oui"),13.39,0)</f>
        <v>0</v>
      </c>
      <c r="E57" s="338"/>
      <c r="F57" s="338"/>
    </row>
    <row r="58" spans="1:6">
      <c r="A58" s="189" t="str">
        <f ca="1">IF($EZ$1="","",(IF($EZ$1="Nederlands","Uniformvergoeding",(IF($EZ$1="Français","Indemnité d'uniforme","")))))</f>
        <v/>
      </c>
      <c r="B58" s="222" t="e">
        <f ca="1">IF(AND(Loonschalen!G47=1,$EZ$1="Nederlands"),"Ja",(IF(AND(Loonschalen!G47=1,$EZ$1="Français"),"Oui","")))</f>
        <v>#N/A</v>
      </c>
      <c r="D58" t="e">
        <f>IF(Loonschalen!G47=1,9.43,0)</f>
        <v>#N/A</v>
      </c>
    </row>
    <row r="59" spans="1:6">
      <c r="A59" s="189" t="str">
        <f ca="1">IF($EZ$1="","",(IF($EZ$1="Nederlands","Vergoeding Shape - In uitdoving",(IF($EZ$1="Français","Indemnité Shape - En extinction","")))))</f>
        <v/>
      </c>
      <c r="B59" s="220"/>
      <c r="D59">
        <f>IF(B59="ja",(VLOOKUP(Loonschalen!H47,Gegevenslijsten!B94:C96,2,FALSE)),0)</f>
        <v>0</v>
      </c>
    </row>
    <row r="60" spans="1:6">
      <c r="A60" s="189" t="str">
        <f ca="1">IF($EZ$1="","",(IF($EZ$1="Nederlands","Vergoeding voor werkelijke onderzoekskosten - In uitdoving",(IF($EZ$1="Français","Indemnité pour frais réels d'enquête - En extinction","")))))</f>
        <v/>
      </c>
      <c r="B60" s="220"/>
      <c r="D60" t="e">
        <f>IF(Loonschalen!C47&lt;2,0,(IF(Loonschalen!C47&gt;6,0,(IF(AND(D19&gt;0,Gegevenslijsten!O35&lt;2),0,(IF(OR(B60="ja",B60="oui"),122.71,0)))))))</f>
        <v>#N/A</v>
      </c>
      <c r="E60" s="191" t="e">
        <f>IF(Loonschalen!C47&lt;2,Gegevenslijsten!N59,(IF(Loonschalen!C47&gt;6,Gegevenslijsten!N60,(IF(B19="","",(IF(B60="","",(IF(Gegevenslijsten!O35&gt;1,"",Gegevenslijsten!N61)))))))))</f>
        <v>#N/A</v>
      </c>
    </row>
    <row r="61" spans="1:6">
      <c r="A61" s="189" t="str">
        <f ca="1">IF($EZ$1="","",(IF($EZ$1="Nederlands","Vergoeding onderhoud politiehond",(IF($EZ$1="Français","Indemnité pour l'entretien d'un chien policier","")))))</f>
        <v/>
      </c>
      <c r="B61" s="220"/>
      <c r="D61">
        <f>IF(OR(B61="ja",B61="oui"),74.37,0)</f>
        <v>0</v>
      </c>
    </row>
    <row r="62" spans="1:6">
      <c r="A62" s="197" t="str">
        <f ca="1">IF(AND(B61="ja",$EZ$1="Nederlands"),"Hoeveel politiehonden onderhoudt u?",(IF(AND(B61="oui",$EZ$1="Français"),"Combien de chiens policiers entretenez-vous?","")))</f>
        <v/>
      </c>
      <c r="B62" s="220"/>
    </row>
    <row r="63" spans="1:6" ht="15" thickBot="1">
      <c r="A63" s="198" t="str">
        <f ca="1">IF($EZ$1="","",(IF($EZ$1="Nederlands","Telewerkvergoeding",(IF($EZ$1="Français","Indemnité de télétravail","")))))</f>
        <v/>
      </c>
      <c r="B63" s="224"/>
      <c r="D63">
        <f>IF(B63="",0,(VLOOKUP(B63,Gegevenslijsten!A111:B113,2,FALSE)))</f>
        <v>0</v>
      </c>
    </row>
    <row r="64" spans="1:6" ht="15" thickBot="1"/>
    <row r="65" spans="1:3" ht="21.6" thickBot="1">
      <c r="A65" s="309" t="str">
        <f ca="1">IF($EZ$1="","",(IF($EZ$1="Nederlands","FISCALE TOESTAND",(IF($EZ$1="Français","SITUATION FISCALE","")))))</f>
        <v/>
      </c>
      <c r="B65" s="310"/>
    </row>
    <row r="66" spans="1:3">
      <c r="A66" s="195" t="str">
        <f ca="1">IF($EZ$1="","",(IF($EZ$1="Nederlands","U bent",(IF($EZ$1="Français","Vous êtes","")))))</f>
        <v/>
      </c>
      <c r="B66" s="226" t="e">
        <f>Gegevenslijsten!M165</f>
        <v>#N/A</v>
      </c>
      <c r="C66" s="299" t="e">
        <f ca="1">IF(AND($EZ$1="Nederlands",B66=""),"Verplicht veld",(IF(AND($EZ$1="Français",B66=""),"Champ obligatoire","")))</f>
        <v>#N/A</v>
      </c>
    </row>
    <row r="67" spans="1:3">
      <c r="A67" s="188" t="str">
        <f ca="1">IF($EZ$1="","",(IF($EZ$1="Nederlands","Bent u mindervalide",(IF($EZ$1="Français","Etes-vous handicapé(e)","")))))</f>
        <v/>
      </c>
      <c r="B67" s="220" t="str">
        <f ca="1">IF($EZ$1="Nederlands","neen",(IF($EZ$1="Français","non","")))</f>
        <v/>
      </c>
      <c r="C67" s="299" t="str">
        <f ca="1">IF(AND($EZ$1="Nederlands",B67=""),"Verplicht veld",(IF(AND($EZ$1="Français",B67=""),"Champ obligatoire","")))</f>
        <v/>
      </c>
    </row>
    <row r="68" spans="1:3">
      <c r="A68" s="188" t="e">
        <f ca="1">IF(AND(BV!M1&lt;3,$EZ$1="Nederlands"),"Inkomsten partner:",(IF(AND(BV!M1&lt;3,$EZ$1="Français"),"Revenus du/de la partenaire","")))</f>
        <v>#N/A</v>
      </c>
      <c r="B68" s="220" t="e">
        <f>Gegevenslijsten!M166</f>
        <v>#N/A</v>
      </c>
      <c r="C68" s="299" t="e">
        <f ca="1">IF(AND(BV!M1&lt;3,$EZ$1="Nederlands",B68=""),"Verplicht veld",(IF(AND(BV!M1&lt;3,$EZ$1="Français",B68=""),"Champ obligatoire","")))</f>
        <v>#N/A</v>
      </c>
    </row>
    <row r="69" spans="1:3">
      <c r="A69" s="188" t="e">
        <f ca="1">IF(AND(BV!M1&lt;3,$EZ$1="Nederlands"),"Is uw partner mindervalide?",(IF(AND(BV!M1&lt;3,$EZ$1="Français"),"Votre partenaire est-il (elle) handicapé(e)?","")))</f>
        <v>#N/A</v>
      </c>
      <c r="B69" s="220" t="str">
        <f ca="1">IF($EZ$1="Nederlands","neen",(IF($EZ$1="Français","non","")))</f>
        <v/>
      </c>
      <c r="C69" s="299" t="e">
        <f ca="1">IF(AND(BV!M1&lt;3,$EZ$1="Nederlands",B69=""),"Verplicht veld",(IF(AND(BV!M1&lt;3,$EZ$1="Français",B69=""),"Champ obligatoire","")))</f>
        <v>#N/A</v>
      </c>
    </row>
    <row r="70" spans="1:3">
      <c r="A70" s="188" t="str">
        <f ca="1">IF($EZ$1="","",(IF($EZ$1="Nederlands","Hoeveel kinderen heeft u ten laste?",(IF($EZ$1="Français","Combien d'enfants avez-vous à charge?","")))))</f>
        <v/>
      </c>
      <c r="B70" s="220">
        <f>'Pre-programmed simulation'!B10</f>
        <v>0</v>
      </c>
    </row>
    <row r="71" spans="1:3">
      <c r="A71" s="188" t="str">
        <f ca="1">IF($EZ$1="","",(IF($EZ$1="Nederlands","Hoeveel van deze kinderen zijn mindervalide?",(IF($EZ$1="Français","Combien de ces enfants sont handicapés?","")))))</f>
        <v/>
      </c>
      <c r="B71" s="220">
        <v>0</v>
      </c>
    </row>
    <row r="72" spans="1:3">
      <c r="A72" s="188" t="str">
        <f ca="1">IF($EZ$1="","",(IF($EZ$1="Nederlands","Hoeveel personen ouder dan 65 jaar heeft u ten laste?",(IF($EZ$1="Français","Combien de personnes de plus de 65 ans avez-vous à charge?","")))))</f>
        <v/>
      </c>
      <c r="B72" s="220">
        <v>0</v>
      </c>
    </row>
    <row r="73" spans="1:3">
      <c r="A73" s="188" t="str">
        <f>IF(AND(B1="Nederlands",B72&gt;0),"Zijn één of meerdere van deze personen ouder dan 65 jaar mindervalide of zorgbehoevend?",(IF(AND(B1="Français",B72&gt;0),"Y a-t-il une ou plusieurs personne(s) de plus de 65 ans handicapée(s) ou en situation de dépendance?","")))</f>
        <v/>
      </c>
      <c r="B73" s="220"/>
    </row>
    <row r="74" spans="1:3">
      <c r="A74" s="231" t="str">
        <f>IF(A73="","",(IF($EZ$1="","",(IF(AND($EZ$1="Nederlands",B73="ja"),"Hoeveel van deze personen ouder dan 65 jaar zijn mindervalide?",(IF(AND($EZ$1="Français",B73="oui"),"Combien de ces personnes de plus de 65 ans sont handicapées?","")))))))</f>
        <v/>
      </c>
      <c r="B74" s="220"/>
    </row>
    <row r="75" spans="1:3">
      <c r="A75" s="231" t="str">
        <f>IF(A73="","",(IF($EZ$1="","",(IF(AND($EZ$1="Nederlands",B73="ja"),"Hoeveel van deze personen ouder dan 65 jaar zijn zorgbehoevend?",(IF(AND($EZ$1="Français",B73="Oui"),"Combien de ces personnes de plus de 65 ans sont en situation de dépendance?","")))))))</f>
        <v/>
      </c>
      <c r="B75" s="220"/>
    </row>
    <row r="76" spans="1:3">
      <c r="A76" s="231" t="str">
        <f ca="1">IF($EZ$1="","",(IF($EZ$1="Nederlands","Hoeveel andere personen heeft u ten laste?",(IF($EZ$1="Français","Combien d'autres personnes avez-vous à charge?","")))))</f>
        <v/>
      </c>
      <c r="B76" s="220">
        <v>0</v>
      </c>
    </row>
    <row r="77" spans="1:3" ht="15" thickBot="1">
      <c r="A77" s="190" t="str">
        <f ca="1">IF($EZ$1="","",(IF($EZ$1="Nederlands","Hoeveel van deze andere personen zijn mindervalide?",(IF($EZ$1="Français","Combien de ces autres personnes sont handicapées?","")))))</f>
        <v/>
      </c>
      <c r="B77" s="224">
        <v>0</v>
      </c>
    </row>
    <row r="78" spans="1:3" ht="15" thickBot="1">
      <c r="B78" s="83"/>
    </row>
    <row r="79" spans="1:3" ht="21.6" thickBot="1">
      <c r="A79" s="309" t="str">
        <f ca="1">IF($EZ$1="","",(IF($EZ$1="Nederlands","BIJKOMENDE AFWEZIGHEDEN",(IF($EZ$1="Français","ABSENCES SUPPLEMENTAIRES","")))))</f>
        <v/>
      </c>
      <c r="B79" s="310"/>
    </row>
    <row r="80" spans="1:3">
      <c r="A80" s="196" t="str">
        <f ca="1">Gegevenslijsten!A120</f>
        <v/>
      </c>
      <c r="B80" s="226">
        <v>0</v>
      </c>
    </row>
    <row r="81" spans="1:5">
      <c r="A81" s="189" t="str">
        <f ca="1">Gegevenslijsten!A121</f>
        <v/>
      </c>
      <c r="B81" s="220">
        <v>0</v>
      </c>
    </row>
    <row r="82" spans="1:5">
      <c r="A82" s="189" t="str">
        <f ca="1">Gegevenslijsten!A122</f>
        <v/>
      </c>
      <c r="B82" s="220">
        <v>0</v>
      </c>
    </row>
    <row r="83" spans="1:5" ht="15" thickBot="1">
      <c r="A83" s="194" t="str">
        <f ca="1">Gegevenslijsten!A123</f>
        <v/>
      </c>
      <c r="B83" s="224">
        <v>0</v>
      </c>
      <c r="D83">
        <f>SUM(B80:B83)</f>
        <v>0</v>
      </c>
    </row>
    <row r="84" spans="1:5" ht="15" thickBot="1"/>
    <row r="85" spans="1:5" ht="46.95" customHeight="1" thickBot="1">
      <c r="A85" s="232" t="str">
        <f ca="1">IF($EZ$1="","",(IF($EZ$1="Nederlands","Nettowedde:",(IF($EZ$1="Français","Salaire net:","")))))</f>
        <v/>
      </c>
      <c r="B85" s="199" t="e">
        <f ca="1">'SIMUL SSGPI'!B83</f>
        <v>#N/A</v>
      </c>
      <c r="C85" s="331" t="str">
        <f ca="1">IF($EZ$1="","",(IF($EZ$1="Nederlands","Zonder rekening te houden met de persoonlijke bijdrage maaltijdcheques",(IF($EZ$1="Français","Sans tenir compte de la cotisation personnelle pour les chèques-repas","")))))</f>
        <v/>
      </c>
      <c r="D85" s="332"/>
      <c r="E85" s="333"/>
    </row>
    <row r="86" spans="1:5" ht="46.95" customHeight="1" thickBot="1">
      <c r="A86" s="232" t="str">
        <f ca="1">IF($EZ$1="","",(IF($EZ$1="Nederlands","Netto vakantiegeld:",(IF($EZ$1="Français","Pécule de vacances net:","")))))</f>
        <v/>
      </c>
      <c r="B86" s="199" t="e">
        <f ca="1">Jaartoelagen!C20</f>
        <v>#N/A</v>
      </c>
      <c r="C86" s="334" t="str">
        <f ca="1">IF($EZ$1="","",(IF($EZ$1="Nederlands","Op basis van een volledig jaar tewerkstelling in bovenvermeld stelsel",(IF($EZ$1="Français","Sur base d'une mise au travail d'une année complète dans le régime mentionné ci-dessus","")))))</f>
        <v/>
      </c>
      <c r="D86" s="335"/>
      <c r="E86" s="336"/>
    </row>
    <row r="87" spans="1:5" ht="46.8" thickBot="1">
      <c r="A87" s="232" t="str">
        <f ca="1">IF($EZ$1="","",(IF($EZ$1="Nederlands","Netto eindejaarstoelage:",(IF($EZ$1="Français","Allocation de fin d'année nette:","")))))</f>
        <v/>
      </c>
      <c r="B87" s="199" t="e">
        <f ca="1">IF(B5="contractueel",Jaartoelagen!W20,Jaartoelagen!U20)</f>
        <v>#N/A</v>
      </c>
      <c r="C87" s="337"/>
      <c r="D87" s="335"/>
      <c r="E87" s="336"/>
    </row>
    <row r="88" spans="1:5" ht="17.399999999999999" customHeight="1" thickBot="1">
      <c r="A88" s="217"/>
      <c r="B88" s="218"/>
      <c r="C88" s="213"/>
      <c r="D88" s="213"/>
    </row>
    <row r="89" spans="1:5" ht="23.4">
      <c r="A89" s="313" t="str">
        <f ca="1">IF($EZ$1="","",(IF($EZ$1="Nederlands","Onregelmatige prestaties: BRUTO bedragen per uur",(IF($EZ$1="Français","Prestations irrégulières: montants BRUTS par heure","")))))</f>
        <v/>
      </c>
      <c r="B89" s="314"/>
    </row>
    <row r="90" spans="1:5" ht="23.4">
      <c r="A90" s="233" t="str">
        <f ca="1">IF($EZ$1="","",(IF($EZ$1="Nederlands","Overuur:",(IF($EZ$1="Français","Heures supplémentaires:","")))))</f>
        <v/>
      </c>
      <c r="B90" s="200" t="e">
        <f ca="1">ROUND(B8*index/1850,2)</f>
        <v>#N/A</v>
      </c>
    </row>
    <row r="91" spans="1:5" ht="23.4">
      <c r="A91" s="233" t="str">
        <f ca="1">IF($EZ$1="","",(IF($EZ$1="Nederlands","Weekenduur:",(IF($EZ$1="Français","Heures de weekend:","")))))</f>
        <v/>
      </c>
      <c r="B91" s="200" t="e">
        <f ca="1">B90</f>
        <v>#N/A</v>
      </c>
    </row>
    <row r="92" spans="1:5" ht="23.4">
      <c r="A92" s="233" t="str">
        <f ca="1">IF($EZ$1="","",(IF($EZ$1="Nederlands","Nachtuur 19-22H:",(IF($EZ$1="Français","Heures de nuit 19-22h:","")))))</f>
        <v/>
      </c>
      <c r="B92" s="200" t="e">
        <f ca="1">ROUND(B91*0.2,2)</f>
        <v>#N/A</v>
      </c>
    </row>
    <row r="93" spans="1:5" ht="24" thickBot="1">
      <c r="A93" s="234" t="str">
        <f ca="1">IF($EZ$1="","",(IF($EZ$1="Nederlands","Nachtuur 22-6H:",(IF($EZ$1="Français","Heures de nuit 22-6h:","")))))</f>
        <v/>
      </c>
      <c r="B93" s="201" t="e">
        <f ca="1">ROUND(B91*0.35,2)</f>
        <v>#N/A</v>
      </c>
    </row>
    <row r="95" spans="1:5" ht="87.6" customHeight="1">
      <c r="A95" s="329" t="str">
        <f ca="1">IF($EZ$1="","",(IF($EZ$1="Nederlands","Om uw simulatie af te drukken, ga naar bestand =&gt; afdrukken",(IF($EZ$1="Français","Pour imprimer la simulation, allez dans fichier =&gt; imprimer","")))))</f>
        <v/>
      </c>
      <c r="B95" s="330"/>
    </row>
    <row r="97" spans="1:4" ht="15" thickBot="1"/>
    <row r="98" spans="1:4" ht="21.6" thickBot="1">
      <c r="A98" s="341" t="str">
        <f ca="1">IF($EZ$1="","",(IF($EZ$1="Nederlands","PATRONALE KOST",(IF($EZ$1="Français","COÛT PATRONAL","")))))</f>
        <v/>
      </c>
      <c r="B98" s="341"/>
    </row>
    <row r="99" spans="1:4">
      <c r="A99" s="189" t="str">
        <f ca="1">IF($EZ$1="","",(IF($EZ$1="Nederlands","Wenst u de patronale kost te berekenen? ",(IF($EZ$1="Français","Souhaitez-vous calculer le coût patronal ?","")))))</f>
        <v/>
      </c>
      <c r="B99" s="275"/>
    </row>
    <row r="100" spans="1:4">
      <c r="A100" s="189" t="str">
        <f>IF(OR(B99="ja",B99="oui"),(IF($EZ$1="","",(IF($EZ$1="Nederlands","Waar werkt uw personeelslid? ",(IF($EZ$1="Français","Où travaille votre membre du personnel ?","")))))),"")</f>
        <v/>
      </c>
      <c r="B100" s="275"/>
    </row>
    <row r="101" spans="1:4">
      <c r="A101" s="189" t="str">
        <f>IF(AND(B1="Nederlands",B5="contractueel",B99="ja",(OR(B100="federale politie",B100="lokale politie"))),"Patronale RSZ-bijdrage:",(IF(AND(B1="français",B5="contractuel(le)",B99="oui",(OR(B100="police fédérale",B100="police locale"))),"Cotisation ONSS patronale:",(IF(AND(B1="nederlands",B5="statutair",B99="ja",(OR(B100="federale politie",B100="lokale politie"))),"Patronale ZIV-bijdrage:",(IF(AND(B1="français",B5="statutaire",B99="oui",(OR(B100="police fédérale",B100="police locale"))),"Cotisation AMI patronale:","")))))))</f>
        <v/>
      </c>
      <c r="B101" s="278" t="str">
        <f>IF(OR(AND(B5="contractueel",B99="ja",(OR(B100="federale politie",B100="lokale politie"))),(AND(B5="contractuel(le)",B99="oui",(OR(B100="police fédérale",B100="police locale"))))),'SIMUL SSGPI'!F38,(IF(OR(AND(B5="statutair",B99="ja",(OR(B100="federale politie",B100="lokale politie"))),(AND(B5="statutaire",B99="oui",(OR(B100="police fédérale",B100="police locale"))))),'SIMUL SSGPI'!F40,"")))</f>
        <v/>
      </c>
      <c r="D101" s="204" t="str">
        <f>B101</f>
        <v/>
      </c>
    </row>
    <row r="102" spans="1:4">
      <c r="A102" s="189" t="str">
        <f>IF(AND(B$1="nederlands",B$5="statutair",B$99="ja",B$100="lokale politie"),"Patronale FOP-bijdrage:",(IF(AND(B$1="français",B$5="statutaire",B$99="oui",B$100="police locale"),"Cotisation FPS patronale:","")))</f>
        <v/>
      </c>
      <c r="B102" s="278" t="str">
        <f>IF(OR(AND(B5="statutair",B99="ja",B100="lokale politie"),(AND(B5="statutaire",B99="oui",B100="police locale"))),'SIMUL SSGPI'!F39,"")</f>
        <v/>
      </c>
      <c r="D102">
        <f>IF(B102="",0,B102)</f>
        <v>0</v>
      </c>
    </row>
    <row r="103" spans="1:4">
      <c r="A103" s="189" t="str">
        <f>IF(AND(B$1="nederlands",B$5="statutair",B$99="ja",B$100="lokale politie"),"Patronale bijdrage sociale dienst:",(IF(AND(B$1="français",B$5="statutaire",B$99="oui",B$100="police locale"),"Cotisation patronale service sociale:","")))</f>
        <v/>
      </c>
      <c r="B103" s="278" t="str">
        <f>IF(OR(AND(B5="statutair",B99="ja",B100="lokale politie"),(AND(B5="statutaire",B99="oui",B100="police locale"))),'SIMUL SSGPI'!F41,"")</f>
        <v/>
      </c>
      <c r="D103">
        <f>IF(B103="",0,B103)</f>
        <v>0</v>
      </c>
    </row>
    <row r="104" spans="1:4" ht="15" thickBot="1">
      <c r="A104" s="194" t="str">
        <f>IF(AND(B$1="nederlands",B$99="ja"),"Patronale kost maandloon:",(IF(AND(B$1="français",B$99="oui"),"Coût patronal du salaire mensuel:","")))</f>
        <v/>
      </c>
      <c r="B104" s="279" t="e">
        <f>ROUND(IF(OR(B99="ja",B99="oui"),D101+D102+D103+'SIMUL SSGPI'!B38+'SIMUL SSGPI'!D81,""),2)</f>
        <v>#VALUE!</v>
      </c>
    </row>
    <row r="134" spans="157:160" ht="61.2">
      <c r="FA134" s="326" t="str">
        <f ca="1">IF($EZ$1="nederlands","Simulatie",(IF($EZ$1="français","Simulation","")))</f>
        <v/>
      </c>
      <c r="FB134" s="327"/>
      <c r="FC134" s="327"/>
      <c r="FD134" s="328"/>
    </row>
    <row r="135" spans="157:160">
      <c r="FA135" s="321" t="str">
        <f ca="1">FA136</f>
        <v/>
      </c>
      <c r="FB135" s="322"/>
      <c r="FC135" s="322"/>
      <c r="FD135" s="323"/>
    </row>
    <row r="136" spans="157:160">
      <c r="FA136" s="241" t="str">
        <f ca="1">IF($EZ$1="","",(IF($EZ$1="Nederlands","Fiscale toestand",(IF($EZ$1="Français","Situation fiscale","")))))</f>
        <v/>
      </c>
      <c r="FB136" s="237" t="e">
        <f>B66</f>
        <v>#N/A</v>
      </c>
      <c r="FC136" s="255" t="str">
        <f ca="1">IF($EZ$1="","",(IF($EZ$1="Nederlands","Simulatie als",(IF($EZ$1="Français","Simulation comme","")))))</f>
        <v/>
      </c>
      <c r="FD136" s="239">
        <f>B5</f>
        <v>0</v>
      </c>
    </row>
    <row r="137" spans="157:160">
      <c r="FA137" s="339" t="e">
        <f>B68</f>
        <v>#N/A</v>
      </c>
      <c r="FB137" s="340"/>
      <c r="FC137" s="256" t="str">
        <f ca="1">IF($EZ$1="","",(IF($EZ$1="Nederlands","U bent mindervalide",(IF($EZ$1="Français","Vous êtes handicapé(e)","")))))</f>
        <v/>
      </c>
      <c r="FD137" s="203" t="str">
        <f ca="1">B67</f>
        <v/>
      </c>
    </row>
    <row r="138" spans="157:160">
      <c r="FA138" s="339"/>
      <c r="FB138" s="340"/>
      <c r="FC138" s="256" t="str">
        <f ca="1">IF($EZ$1="","",(IF($EZ$1="Nederlands","Uw partner is mindervalide",(IF($EZ$1="Français","Partenaire handicapé(e)","")))))</f>
        <v/>
      </c>
      <c r="FD138" s="203" t="str">
        <f ca="1">B69</f>
        <v/>
      </c>
    </row>
    <row r="139" spans="157:160">
      <c r="FA139" s="235" t="str">
        <f ca="1">IF($EZ$1="","",(IF($EZ$1="Nederlands","Kinderen ten laste",(IF($EZ$1="Français","Enfants à charge","")))))</f>
        <v/>
      </c>
      <c r="FB139">
        <f>B70-FD139</f>
        <v>0</v>
      </c>
      <c r="FC139" s="256" t="str">
        <f ca="1">IF($EZ$1="","",(IF($EZ$1="Nederlands","Mindervalide kinderen",(IF($EZ$1="Français","Enfants handicapés","")))))</f>
        <v/>
      </c>
      <c r="FD139" s="203">
        <f>B71</f>
        <v>0</v>
      </c>
    </row>
    <row r="140" spans="157:160">
      <c r="FA140" s="235" t="str">
        <f ca="1">IF($EZ$1="","",(IF($EZ$1="Nederlands","Andere personen ten laste",(IF($EZ$1="Français","Autres personnes à charge","")))))</f>
        <v/>
      </c>
      <c r="FB140">
        <f>B76-FD140</f>
        <v>0</v>
      </c>
      <c r="FC140" s="256" t="str">
        <f ca="1">IF($EZ$1="","",(IF($EZ$1="Nederlands","Andere mindervalide personen",(IF($EZ$1="Français","Autres personnes handicapées","")))))</f>
        <v/>
      </c>
      <c r="FD140" s="203">
        <f>B77</f>
        <v>0</v>
      </c>
    </row>
    <row r="141" spans="157:160">
      <c r="FA141" s="235" t="str">
        <f ca="1">IF($EZ$1="","",(IF($EZ$1="Nederlands","Andere personen +65 jaar ten laste",(IF($EZ$1="Français","Autres personnes +65 à charge","")))))</f>
        <v/>
      </c>
      <c r="FB141" s="203">
        <f>B72-FD141-FD142</f>
        <v>0</v>
      </c>
      <c r="FC141" s="256" t="str">
        <f ca="1">IF($EZ$1="","",(IF($EZ$1="Nederlands","Andere mindervalide personen +65 jaar",(IF($EZ$1="Français","Autres personnes +65 ans handicapées","")))))</f>
        <v/>
      </c>
      <c r="FD141" s="203">
        <f>B74</f>
        <v>0</v>
      </c>
    </row>
    <row r="142" spans="157:160">
      <c r="FA142" s="245"/>
      <c r="FB142" s="206"/>
      <c r="FC142" s="261" t="str">
        <f ca="1">IF($EZ$1="","",(IF($EZ$1="Nederlands","Andere zorgbehoevende personen +65 j",(IF($EZ$1="Français","Autres pers. +65 ans en sit. dépendance","")))))</f>
        <v/>
      </c>
      <c r="FD142" s="207">
        <f>B75</f>
        <v>0</v>
      </c>
    </row>
    <row r="143" spans="157:160">
      <c r="FA143" s="202"/>
      <c r="FD143" s="203"/>
    </row>
    <row r="144" spans="157:160">
      <c r="FA144" s="321" t="str">
        <f ca="1">IF($EZ$1="nederlands","BASISGEGEVENS",(IF($EZ$1="français","DONNEES DE BASE","")))</f>
        <v/>
      </c>
      <c r="FB144" s="322"/>
      <c r="FC144" s="322"/>
      <c r="FD144" s="323"/>
    </row>
    <row r="145" spans="157:160">
      <c r="FA145" s="241" t="str">
        <f ca="1">IF($EZ$1="","",(IF($EZ$1="Nederlands","Loonschaal ",(IF($EZ$1="Français","Echelle de traitement","")))))</f>
        <v/>
      </c>
      <c r="FB145" s="247" t="e">
        <f>B6</f>
        <v>#N/A</v>
      </c>
      <c r="FC145" s="255" t="str">
        <f ca="1">IF($EZ$1="","",(IF($EZ$1="Nederlands","Jaarwedde",(IF($EZ$1="Français","Base annuelle","")))))</f>
        <v/>
      </c>
      <c r="FD145" s="243" t="e">
        <f ca="1">B8</f>
        <v>#N/A</v>
      </c>
    </row>
    <row r="146" spans="157:160">
      <c r="FA146" s="235" t="str">
        <f ca="1">IF($EZ$1="","",(IF($EZ$1="Nederlands","Loontrap",(IF($EZ$1="Français","Echelon","")))))</f>
        <v/>
      </c>
      <c r="FB146">
        <f ca="1">D7</f>
        <v>0</v>
      </c>
      <c r="FC146" s="257" t="str">
        <f ca="1">B9</f>
        <v/>
      </c>
      <c r="FD146" s="240">
        <f ca="1">+D9</f>
        <v>0</v>
      </c>
    </row>
    <row r="147" spans="157:160">
      <c r="FA147" s="235" t="str">
        <f ca="1">IF($EZ$1="","",(IF($EZ$1="Nederlands","Stelsel",(IF($EZ$1="Français","Régime","")))))</f>
        <v/>
      </c>
      <c r="FB147" s="1">
        <f>D11</f>
        <v>1</v>
      </c>
      <c r="FC147" s="257" t="str">
        <f>C4</f>
        <v>Index</v>
      </c>
      <c r="FD147" s="203">
        <f ca="1">D4</f>
        <v>2.1646999999999998</v>
      </c>
    </row>
    <row r="148" spans="157:160">
      <c r="FA148" s="245" t="str">
        <f ca="1">IF($EZ$1="","",(IF($EZ$1="Nederlands","Niet betaalde afwezigheidsdagen",(IF($EZ$1="Français","Jours d'absence non payés","")))))</f>
        <v/>
      </c>
      <c r="FB148" s="280">
        <f>D83</f>
        <v>0</v>
      </c>
      <c r="FC148" s="258"/>
      <c r="FD148" s="207"/>
    </row>
    <row r="149" spans="157:160">
      <c r="FA149" s="202"/>
      <c r="FD149" s="203"/>
    </row>
    <row r="150" spans="157:160">
      <c r="FA150" s="321" t="str">
        <f ca="1">IF($EZ$1="","",(IF($EZ$1="Nederlands","WEDDE",(IF($EZ$1="Français","TRAITEMENT","")))))</f>
        <v/>
      </c>
      <c r="FB150" s="322"/>
      <c r="FC150" s="322"/>
      <c r="FD150" s="323"/>
    </row>
    <row r="151" spans="157:160">
      <c r="FA151" s="241" t="str">
        <f ca="1">IF($EZ$1="","",(IF($EZ$1="Nederlands","Wedde",(IF($EZ$1="Français","Traitement","")))))</f>
        <v/>
      </c>
      <c r="FB151" s="238" t="e">
        <f ca="1">ROUND('SIMUL SSGPI'!E5,2)</f>
        <v>#N/A</v>
      </c>
      <c r="FC151" s="237"/>
      <c r="FD151" s="239"/>
    </row>
    <row r="152" spans="157:160">
      <c r="FA152" s="202" t="str">
        <f ca="1">A43</f>
        <v/>
      </c>
      <c r="FB152" s="204">
        <f ca="1">ROUND('SIMUL SSGPI'!E6,2)</f>
        <v>0</v>
      </c>
      <c r="FD152" s="203"/>
    </row>
    <row r="153" spans="157:160">
      <c r="FA153" s="205" t="str">
        <f ca="1">B9</f>
        <v/>
      </c>
      <c r="FB153" s="242">
        <f ca="1">'SIMUL SSGPI'!B16</f>
        <v>0</v>
      </c>
      <c r="FC153" s="206"/>
      <c r="FD153" s="207"/>
    </row>
    <row r="154" spans="157:160">
      <c r="FA154" s="202"/>
      <c r="FC154" s="204"/>
      <c r="FD154" s="203"/>
    </row>
    <row r="155" spans="157:160">
      <c r="FA155" s="321" t="str">
        <f ca="1">A17</f>
        <v/>
      </c>
      <c r="FB155" s="322"/>
      <c r="FC155" s="322"/>
      <c r="FD155" s="323"/>
    </row>
    <row r="156" spans="157:160">
      <c r="FA156" s="236" t="str">
        <f ca="1">A18</f>
        <v/>
      </c>
      <c r="FB156" s="238">
        <f ca="1">'SIMUL SSGPI'!E28</f>
        <v>0</v>
      </c>
      <c r="FC156" s="271" t="str">
        <f ca="1">A34</f>
        <v/>
      </c>
      <c r="FD156" s="243">
        <f ca="1">'SIMUL SSGPI'!D20</f>
        <v>0</v>
      </c>
    </row>
    <row r="157" spans="157:160">
      <c r="FA157" s="202" t="str">
        <f ca="1">A25</f>
        <v/>
      </c>
      <c r="FB157" s="204" t="e">
        <f ca="1">'SIMUL SSGPI'!E29</f>
        <v>#N/A</v>
      </c>
      <c r="FC157" s="259" t="e">
        <f ca="1">A36</f>
        <v>#N/A</v>
      </c>
      <c r="FD157" s="240" t="e">
        <f ca="1">'SIMUL SSGPI'!E20</f>
        <v>#N/A</v>
      </c>
    </row>
    <row r="158" spans="157:160">
      <c r="FA158" s="202" t="str">
        <f>A37</f>
        <v/>
      </c>
      <c r="FB158" s="204" t="e">
        <f ca="1">'SIMUL SSGPI'!B30</f>
        <v>#N/A</v>
      </c>
      <c r="FC158" s="259" t="str">
        <f ca="1">A47</f>
        <v/>
      </c>
      <c r="FD158" s="240">
        <f ca="1">'SIMUL SSGPI'!D25</f>
        <v>0</v>
      </c>
    </row>
    <row r="159" spans="157:160">
      <c r="FA159" s="202" t="str">
        <f ca="1">IF($EZ$1="nederlands","Toelage Bijzonder Rekenplichtige",(IF($EZ$1="français","Allocation comptable spécial","")))</f>
        <v/>
      </c>
      <c r="FB159" s="204">
        <f ca="1">'SIMUL SSGPI'!B25</f>
        <v>0</v>
      </c>
      <c r="FC159" s="259" t="str">
        <f ca="1">IF($EZ$1="nederlands","Toelage Secretaris",(IF($EZ$1="français","Allocation Secrétaire","")))</f>
        <v/>
      </c>
      <c r="FD159" s="244">
        <f ca="1">'SIMUL SSGPI'!C25</f>
        <v>0</v>
      </c>
    </row>
    <row r="160" spans="157:160">
      <c r="FA160" s="202" t="str">
        <f ca="1">A29</f>
        <v/>
      </c>
      <c r="FC160" s="276" t="str">
        <f>IF(B30="","",B30)</f>
        <v/>
      </c>
      <c r="FD160" s="240">
        <f ca="1">'SIMUL SSGPI'!E30</f>
        <v>0</v>
      </c>
    </row>
    <row r="161" spans="157:160">
      <c r="FA161" s="268" t="str">
        <f ca="1">IF(AND(B11=30.4,$EZ$1="Nederlands",B14="ja"),"Premie vierdagenweek",(IF(AND(B11=30.4,$EZ$1="Français",B14="oui"),"Prime 4/5ème",IF(AND(B5="statutair",B11=19,$EZ$1="Nederlands",B15="ja"),"Premie halftijds werken vanaf 55 jaar",(IF(AND(B5="Statutaire",B11=19,$EZ$1="Français",B15="oui"),"Prime mi-temps à partir de 55 ans",""))))))</f>
        <v/>
      </c>
      <c r="FB161" s="270" t="str">
        <f ca="1">IF(FA161="","",(IF(FA161="Premie vierdagenweek",'SIMUL SSGPI'!B50,(IF(FA161="Prime 4/5ème",'SIMUL SSGPI'!B50,(IF(FA161="Premie halftijds werken vanaf 55 jaar",'SIMUL SSGPI'!D50,(IF(FA161="Prime mi-temps à partir de 55 ans",'SIMUL SSGPI'!D50,0)))))))))</f>
        <v/>
      </c>
      <c r="FC161" s="269"/>
      <c r="FD161" s="240"/>
    </row>
    <row r="162" spans="157:160">
      <c r="FA162" s="321" t="str">
        <f ca="1">A49</f>
        <v/>
      </c>
      <c r="FB162" s="322"/>
      <c r="FC162" s="322"/>
      <c r="FD162" s="323"/>
    </row>
    <row r="163" spans="157:160">
      <c r="FA163" s="246" t="s">
        <v>542</v>
      </c>
      <c r="FB163" s="248">
        <f>D51</f>
        <v>0</v>
      </c>
      <c r="FC163" s="260" t="str">
        <f ca="1">IF($EZ$1="nederlands","Dienstvoertuig",(IF($EZ$1="français","Véhicule de service","")))</f>
        <v/>
      </c>
      <c r="FD163" s="249">
        <f>D53</f>
        <v>0</v>
      </c>
    </row>
    <row r="164" spans="157:160">
      <c r="FA164" s="202"/>
      <c r="FC164" s="204"/>
      <c r="FD164" s="203"/>
    </row>
    <row r="165" spans="157:160">
      <c r="FA165" s="235" t="str">
        <f ca="1">IF($EZ$1="","",(IF($EZ$1="Nederlands","Totaal Bruto",(IF($EZ$1="Français","Total brut","")))))</f>
        <v/>
      </c>
      <c r="FB165" s="204" t="e">
        <f ca="1">'SIMUL SSGPI'!B38</f>
        <v>#N/A</v>
      </c>
      <c r="FD165" s="203"/>
    </row>
    <row r="166" spans="157:160">
      <c r="FA166" s="202"/>
      <c r="FB166" s="204"/>
      <c r="FD166" s="203"/>
    </row>
    <row r="167" spans="157:160">
      <c r="FA167" s="202" t="str">
        <f ca="1">IF(AND($EZ$1="nederlands",B5="contractueel"),"RSZ-Bijdrage (13,07%)",(IF(AND($EZ$1="nederlands",B5="statutair"),"Inhouding ZIV (3,55%)",(IF(AND($EZ$1="français",B5="contractuel(le)"),"Cotisation ONSS (13,07%",(IF(AND($EZ$1="français",B5="statutaire"),"Retenue AMI (3,55%)","")))))))</f>
        <v/>
      </c>
      <c r="FB167" s="204" t="e">
        <f ca="1">'SIMUL SSGPI'!F44+'SIMUL SSGPI'!B51</f>
        <v>#N/A</v>
      </c>
      <c r="FC167" s="276" t="str">
        <f ca="1">IF($EZ$1="nederlands","Basisbedrag:",(IF($EZ$1="français","Montant de base:","")))</f>
        <v/>
      </c>
      <c r="FD167" s="277" t="e">
        <f>ROUND(IF(OR(B5="contractueel",B5="contractuel(le)"),'SIMUL SSGPI'!B38,(IF(OR(B5="statutair",B5="statutaire"),'SIMUL SSGPI'!B40,""))),2)</f>
        <v>#VALUE!</v>
      </c>
    </row>
    <row r="168" spans="157:160">
      <c r="FA168" s="202" t="str">
        <f ca="1">IF(AND($EZ$1="nederlands",B5="statutair"),"Inhouding FOP (7,50%)",(IF(AND($EZ$1="français",B5="statutaire"),"Retenue FPS (7,50%)","")))</f>
        <v/>
      </c>
      <c r="FB168" s="204" t="str">
        <f ca="1">IF(FA168="","",'SIMUL SSGPI'!B43)</f>
        <v/>
      </c>
      <c r="FC168" s="276" t="str">
        <f ca="1">IF(AND($EZ$1="nederlands",B5="statutair"),"Basisbedrag:",(IF(AND($EZ$1="français",B5="statutaire"),"Montant de base:","")))</f>
        <v/>
      </c>
      <c r="FD168" s="240" t="str">
        <f>IF(OR(B5="Statutair",B5="Statutaire"),'SIMUL SSGPI'!B39,"")</f>
        <v/>
      </c>
    </row>
    <row r="169" spans="157:160">
      <c r="FA169" s="202" t="str">
        <f ca="1">IF(AND($EZ$1="nederlands",B5="contractueel"),"Sociale werkbonus A",(IF(AND($EZ$1="français",B5="contractuel(le)"),"Bonus à l'emploi social A","")))</f>
        <v/>
      </c>
      <c r="FB169" s="204" t="str">
        <f ca="1">IF(AND($EZ$1="nederlands",$B$5="contractueel"),Werkbonus!C7,(IF(AND($EZ$1="français",$B$5="contractuel(le)"),Werkbonus!C7,"")))</f>
        <v/>
      </c>
      <c r="FC169" s="276" t="str">
        <f>IF(AND(B5="contractuel(le)",B1="français"),"Bonus à l'emploi fiscal A",(IF(AND(B5="contractueel",B1="Nederlands"),"Fiscale werkbonus A","")))</f>
        <v/>
      </c>
      <c r="FD169" s="240" t="str">
        <f ca="1">IF(AND($EZ$1="nederlands",$B$5="contractueel"),BV!D15,(IF(AND($EZ$1="français",$B$5="contractuel(le)"),BV!D15,"")))</f>
        <v/>
      </c>
    </row>
    <row r="170" spans="157:160">
      <c r="FA170" s="202" t="str">
        <f ca="1">IF(AND($EZ$1="nederlands",B5="contractueel"),"Sociale werkbonus B",(IF(AND($EZ$1="français",B5="contractuel(le)"),"Bonus à l'emploi social B","")))</f>
        <v/>
      </c>
      <c r="FB170" s="204" t="str">
        <f ca="1">IF(AND($EZ$1="nederlands",B5="contractueel"),Werkbonus!D8,(IF(AND($EZ$1="français",B5="contractuel(le)"),Werkbonus!D8,"")))</f>
        <v/>
      </c>
      <c r="FC170" s="276" t="str">
        <f>IF(AND(B5="contractuel(le)",B1="français"),"Bonus à l'emploi fiscal B",(IF(AND(B5="contractueel",B1="Nederlands"),"Fiscale werkbonus B","")))</f>
        <v/>
      </c>
      <c r="FD170" s="240" t="str">
        <f ca="1">IF(AND($EZ$1="nederlands",$B$5="contractueel"),BV!E15,(IF(AND($EZ$1="français",$B$5="contractuel(le)"),BV!E15,"")))</f>
        <v/>
      </c>
    </row>
    <row r="171" spans="157:160">
      <c r="FA171" s="202"/>
      <c r="FC171" s="204"/>
      <c r="FD171" s="203"/>
    </row>
    <row r="172" spans="157:160">
      <c r="FA172" s="235" t="str">
        <f ca="1">IF($EZ$1="","",(IF($EZ$1="Nederlands","Belastbaar",(IF($EZ$1="Français","Imposable","")))))</f>
        <v/>
      </c>
      <c r="FB172" s="204" t="e">
        <f ca="1">'SIMUL SSGPI'!D57</f>
        <v>#N/A</v>
      </c>
      <c r="FD172" s="203"/>
    </row>
    <row r="173" spans="157:160">
      <c r="FA173" s="235" t="str">
        <f ca="1">IF($EZ$1="","",(IF($EZ$1="Nederlands","Afzonderlijk belastbare toelage ",(IF($EZ$1="Français","Allocation imposable séparément","")))))</f>
        <v/>
      </c>
      <c r="FB173" s="204">
        <f ca="1">'SIMUL SSGPI'!B52+'SIMUL SSGPI'!D52</f>
        <v>0</v>
      </c>
      <c r="FD173" s="203"/>
    </row>
    <row r="174" spans="157:160">
      <c r="FA174" s="202" t="str">
        <f ca="1">IF($EZ$1="","",(IF($EZ$1="Nederlands","Bedrijfsvoorheffing",(IF($EZ$1="Français","Précompte professionel","")))))</f>
        <v/>
      </c>
      <c r="FB174" s="204" t="e">
        <f ca="1">'SIMUL SSGPI'!B61</f>
        <v>#N/A</v>
      </c>
      <c r="FC174" s="276" t="str">
        <f>IF(AND(B1="nederlands",B5="contractueel"),"Fiscale werkbonus inbegrepen",(IF(AND(B1="français",B5="contractuel(le)"),"Bonus à l'emploi fiscal y compris","")))</f>
        <v/>
      </c>
      <c r="FD174" s="203"/>
    </row>
    <row r="175" spans="157:160">
      <c r="FA175" s="235" t="str">
        <f ca="1">IF($EZ$1="","",(IF($EZ$1="Nederlands","BV afzonderlijk belastbare toelage",(IF($EZ$1="Français","PP allocation imposable séparément","")))))</f>
        <v/>
      </c>
      <c r="FB175" s="204">
        <f ca="1">'SIMUL SSGPI'!B63+'SIMUL SSGPI'!D63</f>
        <v>0</v>
      </c>
      <c r="FD175" s="203"/>
    </row>
    <row r="176" spans="157:160">
      <c r="FA176" s="202"/>
      <c r="FD176" s="203"/>
    </row>
    <row r="177" spans="157:160">
      <c r="FA177" s="235" t="str">
        <f ca="1">IF($EZ$1="","",(IF($EZ$1="Nederlands","BBSZ",(IF($EZ$1="Français","CSSS","")))))</f>
        <v/>
      </c>
      <c r="FB177" s="204" t="e">
        <f ca="1">'SIMUL SSGPI'!B55</f>
        <v>#N/A</v>
      </c>
      <c r="FD177" s="203"/>
    </row>
    <row r="178" spans="157:160">
      <c r="FA178" s="235"/>
      <c r="FD178" s="203"/>
    </row>
    <row r="179" spans="157:160">
      <c r="FA179" s="349" t="str">
        <f ca="1">IF($EZ$1="","",(IF($EZ$1="Nederlands","Vergoedingen",(IF($EZ$1="Français","Indemnités","")))))</f>
        <v/>
      </c>
      <c r="FB179" s="350"/>
      <c r="FC179" s="350"/>
      <c r="FD179" s="351"/>
    </row>
    <row r="180" spans="157:160">
      <c r="FA180" s="250" t="str">
        <f ca="1">IF($EZ$1="","",(IF($EZ$1="Nederlands","Telefoonvergoeding",(IF($EZ$1="Français","Indemnité de téléphone","")))))</f>
        <v/>
      </c>
      <c r="FB180" s="262">
        <f ca="1">'SIMUL SSGPI'!B66</f>
        <v>0</v>
      </c>
      <c r="FC180" s="255" t="str">
        <f ca="1">IF($EZ$1="","",(IF($EZ$1="Nederlands","Werkelijke onderzoekskosten",(IF($EZ$1="Français","Frais réels d'enquête","")))))</f>
        <v/>
      </c>
      <c r="FD180" s="265" t="e">
        <f ca="1">'SIMUL SSGPI'!B72</f>
        <v>#N/A</v>
      </c>
    </row>
    <row r="181" spans="157:160">
      <c r="FA181" s="251" t="str">
        <f ca="1">A58</f>
        <v/>
      </c>
      <c r="FB181" s="263" t="e">
        <f ca="1">'SIMUL SSGPI'!B69</f>
        <v>#N/A</v>
      </c>
      <c r="FC181" s="256" t="str">
        <f ca="1">IF($EZ$1="","",(IF($EZ$1="Nederlands","Onderhoud politiehond",(IF($EZ$1="Français","Entretien chien policier","")))))</f>
        <v/>
      </c>
      <c r="FD181" s="266">
        <f ca="1">'SIMUL SSGPI'!B75</f>
        <v>0</v>
      </c>
    </row>
    <row r="182" spans="157:160">
      <c r="FA182" s="252" t="str">
        <f ca="1">IF($EZ$1="","",(IF($EZ$1="Nederlands","Telewerkvergoeding",(IF($EZ$1="Français","Indemnité de télétravail","")))))</f>
        <v/>
      </c>
      <c r="FB182" s="264">
        <f>'SIMUL SSGPI'!B78</f>
        <v>0</v>
      </c>
      <c r="FC182" s="261" t="str">
        <f ca="1">IF($EZ$1="","",(IF($EZ$1="Nederlands","Vergoeding Shape",(IF($EZ$1="Français","Indemnité Shape","")))))</f>
        <v/>
      </c>
      <c r="FD182" s="267">
        <f ca="1">'SIMUL SSGPI'!B81</f>
        <v>0</v>
      </c>
    </row>
    <row r="183" spans="157:160">
      <c r="FA183" s="202"/>
      <c r="FC183" s="204"/>
      <c r="FD183" s="203"/>
    </row>
    <row r="184" spans="157:160">
      <c r="FA184" s="202" t="str">
        <f ca="1">IF($EZ$1="","",(IF($EZ$1="Nederlands","Netto",(IF($EZ$1="Français","Net","")))))</f>
        <v/>
      </c>
      <c r="FC184" s="204" t="e">
        <f ca="1">'SIMUL SSGPI'!B83</f>
        <v>#N/A</v>
      </c>
      <c r="FD184" s="203"/>
    </row>
    <row r="185" spans="157:160">
      <c r="FA185" s="202"/>
      <c r="FC185" s="204"/>
      <c r="FD185" s="203"/>
    </row>
    <row r="186" spans="157:160">
      <c r="FA186" s="202" t="str">
        <f>IF(OR(B99="ja",B99="oui"),A98,"")</f>
        <v/>
      </c>
      <c r="FB186" t="str">
        <f>IF(OR(B99="ja",B99="oui"),B100,"")</f>
        <v/>
      </c>
      <c r="FC186" s="204" t="str">
        <f>IF(OR(B99="ja",B99="oui"),B104,"")</f>
        <v/>
      </c>
      <c r="FD186" s="203"/>
    </row>
    <row r="187" spans="157:160">
      <c r="FA187" s="202"/>
      <c r="FD187" s="203"/>
    </row>
    <row r="188" spans="157:160">
      <c r="FA188" s="339" t="str">
        <f ca="1">IF($EZ$1="Nederlands","Deze simulatie is onder voorbehoud en er kunnen op geen enkele wijze rechten uit deze resultaten verleend worden.",(IF($EZ$1="Français","Cette simulation est provisoire et des droits ne peuvent en aucun cas être octroyés sur cette base.","")))</f>
        <v/>
      </c>
      <c r="FB188" s="348"/>
      <c r="FC188" s="348"/>
      <c r="FD188" s="340"/>
    </row>
    <row r="189" spans="157:160">
      <c r="FA189" s="339"/>
      <c r="FB189" s="348"/>
      <c r="FC189" s="348"/>
      <c r="FD189" s="340"/>
    </row>
    <row r="190" spans="157:160">
      <c r="FA190" s="342"/>
      <c r="FB190" s="343"/>
      <c r="FC190" s="343"/>
      <c r="FD190" s="344"/>
    </row>
    <row r="191" spans="157:160">
      <c r="FA191" s="345"/>
      <c r="FB191" s="346"/>
      <c r="FC191" s="346"/>
      <c r="FD191" s="347"/>
    </row>
  </sheetData>
  <sheetProtection algorithmName="SHA-512" hashValue="XXLINZuun+VV63+BMAnpPXQJOE5E1i10JIr01CSf+9+tWXdf/r7ThHc9uO/ps/sykjzH5CPXSrVWLgWj8icq8A==" saltValue="YCAzkkD5WhQsCeA/s+xefA==" spinCount="100000" sheet="1" selectLockedCells="1" autoFilter="0"/>
  <mergeCells count="32">
    <mergeCell ref="FA190:FD191"/>
    <mergeCell ref="FA188:FD189"/>
    <mergeCell ref="FA162:FD162"/>
    <mergeCell ref="FA179:FD179"/>
    <mergeCell ref="FA155:FD155"/>
    <mergeCell ref="FA150:FD150"/>
    <mergeCell ref="E51:F51"/>
    <mergeCell ref="FA134:FD134"/>
    <mergeCell ref="A56:B56"/>
    <mergeCell ref="A65:B65"/>
    <mergeCell ref="A95:B95"/>
    <mergeCell ref="C85:E85"/>
    <mergeCell ref="C86:E87"/>
    <mergeCell ref="E56:F57"/>
    <mergeCell ref="FA135:FD135"/>
    <mergeCell ref="FA144:FD144"/>
    <mergeCell ref="FA137:FB138"/>
    <mergeCell ref="A98:B98"/>
    <mergeCell ref="A49:B49"/>
    <mergeCell ref="A52:B52"/>
    <mergeCell ref="A89:B89"/>
    <mergeCell ref="A54:B54"/>
    <mergeCell ref="A2:B2"/>
    <mergeCell ref="A3:B3"/>
    <mergeCell ref="A17:B17"/>
    <mergeCell ref="A43:B43"/>
    <mergeCell ref="A34:B34"/>
    <mergeCell ref="A37:B37"/>
    <mergeCell ref="A29:B29"/>
    <mergeCell ref="A18:B18"/>
    <mergeCell ref="A25:B25"/>
    <mergeCell ref="A79:B79"/>
  </mergeCells>
  <pageMargins left="0.7" right="0.7" top="0.75" bottom="0.75" header="0.3" footer="0.3"/>
  <pageSetup paperSize="9" scale="76" orientation="portrait" r:id="rId1"/>
  <colBreaks count="2" manualBreakCount="2">
    <brk id="1" min="1" max="48" man="1"/>
    <brk id="5" min="1" max="48" man="1"/>
  </colBreaks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 xr:uid="{C07D332A-0B33-4DA8-9CA5-E32BB9DCA01D}">
          <x14:formula1>
            <xm:f>Loonschalen!$B$2:$EA$2</xm:f>
          </x14:formula1>
          <xm:sqref>B6 B30</xm:sqref>
        </x14:dataValidation>
        <x14:dataValidation type="list" allowBlank="1" showInputMessage="1" showErrorMessage="1" xr:uid="{BCAC15D4-F3BC-49E1-98A7-E097060FB61B}">
          <x14:formula1>
            <xm:f>Gegevenslijsten!$A$26:$A$27</xm:f>
          </x14:formula1>
          <xm:sqref>B9</xm:sqref>
        </x14:dataValidation>
        <x14:dataValidation type="list" allowBlank="1" showInputMessage="1" showErrorMessage="1" xr:uid="{D0259891-5D5A-4A9F-8797-CCC6661F5366}">
          <x14:formula1>
            <xm:f>Gegevenslijsten!$D$3:$D$4</xm:f>
          </x14:formula1>
          <xm:sqref>B36 B39:B40 B50 B57 B59:B61 B14:B15 B53 B27:B28 B20:B21 B99 B73</xm:sqref>
        </x14:dataValidation>
        <x14:dataValidation type="list" allowBlank="1" showInputMessage="1" showErrorMessage="1" xr:uid="{0B7A5274-4A8C-4F16-BBE2-DD84C9DA3194}">
          <x14:formula1>
            <xm:f>Gegevenslijsten!$A$64:$A$69</xm:f>
          </x14:formula1>
          <xm:sqref>B44</xm:sqref>
        </x14:dataValidation>
        <x14:dataValidation type="list" allowBlank="1" showInputMessage="1" showErrorMessage="1" xr:uid="{04161D35-16E2-4FC1-B662-DD5C69E03281}">
          <x14:formula1>
            <xm:f>Gegevenslijsten!$A$70</xm:f>
          </x14:formula1>
          <xm:sqref>B47</xm:sqref>
        </x14:dataValidation>
        <x14:dataValidation type="list" allowBlank="1" showInputMessage="1" showErrorMessage="1" xr:uid="{D4E11D6E-A35E-4C1E-8F66-160982F08151}">
          <x14:formula1>
            <xm:f>Gegevenslijsten!$A$64:$A$70</xm:f>
          </x14:formula1>
          <xm:sqref>B32</xm:sqref>
        </x14:dataValidation>
        <x14:dataValidation type="list" allowBlank="1" showInputMessage="1" showErrorMessage="1" xr:uid="{849B128A-0216-4C80-B11C-CD1D405E785D}">
          <x14:formula1>
            <xm:f>Gegevenslijsten!$A$74:$A$79</xm:f>
          </x14:formula1>
          <xm:sqref>B35</xm:sqref>
        </x14:dataValidation>
        <x14:dataValidation type="list" allowBlank="1" showInputMessage="1" showErrorMessage="1" xr:uid="{991CE9E8-E3EA-4BE5-A5EC-149512F7D9B8}">
          <x14:formula1>
            <xm:f>Gegevenslijsten!$H$2:$H$9</xm:f>
          </x14:formula1>
          <xm:sqref>B38</xm:sqref>
        </x14:dataValidation>
        <x14:dataValidation type="list" allowBlank="1" showInputMessage="1" showErrorMessage="1" xr:uid="{95EA5190-3B0E-4EC2-86CC-302680EF3D16}">
          <x14:formula1>
            <xm:f>Gegevenslijsten!$A$89:$A$91</xm:f>
          </x14:formula1>
          <xm:sqref>B23</xm:sqref>
        </x14:dataValidation>
        <x14:dataValidation type="list" allowBlank="1" showInputMessage="1" showErrorMessage="1" error="foutieve waarde_x000a_" xr:uid="{641F6AD8-3B00-46F0-A2F7-D4DA8EA0356F}">
          <x14:formula1>
            <xm:f>Gegevenslijsten!$A$2:$A$7</xm:f>
          </x14:formula1>
          <xm:sqref>B66</xm:sqref>
        </x14:dataValidation>
        <x14:dataValidation type="list" allowBlank="1" showInputMessage="1" showErrorMessage="1" error="foutieve waarde" xr:uid="{3437DD9B-FB52-417B-B030-E1E9FF84FC32}">
          <x14:formula1>
            <xm:f>Gegevenslijsten!$A$11:$A$18</xm:f>
          </x14:formula1>
          <xm:sqref>B68</xm:sqref>
        </x14:dataValidation>
        <x14:dataValidation type="list" allowBlank="1" showInputMessage="1" showErrorMessage="1" error="foutieve waarde" xr:uid="{8A7148DA-0DB8-41F4-8818-1E3D98F37E20}">
          <x14:formula1>
            <xm:f>Gegevenslijsten!$D$2:$D$4</xm:f>
          </x14:formula1>
          <xm:sqref>B67 B69</xm:sqref>
        </x14:dataValidation>
        <x14:dataValidation type="list" allowBlank="1" showInputMessage="1" showErrorMessage="1" xr:uid="{58635CCD-CEF7-40FA-97E4-D48D97B49C2D}">
          <x14:formula1>
            <xm:f>Gegevenslijsten!$H$2:$H$32</xm:f>
          </x14:formula1>
          <xm:sqref>B70:B71</xm:sqref>
        </x14:dataValidation>
        <x14:dataValidation type="list" allowBlank="1" showInputMessage="1" showErrorMessage="1" xr:uid="{6DDC13FC-4803-42A4-A967-D9ACE7CA74E8}">
          <x14:formula1>
            <xm:f>Gegevenslijsten!$H$2:$H$6</xm:f>
          </x14:formula1>
          <xm:sqref>B72 B74:B75</xm:sqref>
        </x14:dataValidation>
        <x14:dataValidation type="list" allowBlank="1" showInputMessage="1" showErrorMessage="1" xr:uid="{F5359E33-CD4C-4C14-AF28-89DF360549EF}">
          <x14:formula1>
            <xm:f>Gegevenslijsten!$H$2:$H$8</xm:f>
          </x14:formula1>
          <xm:sqref>B76:B78</xm:sqref>
        </x14:dataValidation>
        <x14:dataValidation type="list" allowBlank="1" showInputMessage="1" showErrorMessage="1" xr:uid="{8AB0C3F7-971D-4ABD-A8D2-D72FB75AFB4C}">
          <x14:formula1>
            <xm:f>Gegevenslijsten!$H$3:$H$8</xm:f>
          </x14:formula1>
          <xm:sqref>B62</xm:sqref>
        </x14:dataValidation>
        <x14:dataValidation type="list" allowBlank="1" showInputMessage="1" showErrorMessage="1" xr:uid="{679C3D80-F83D-4638-B60F-1D100362AAC2}">
          <x14:formula1>
            <xm:f>Gegevenslijsten!$L$4:$L$7</xm:f>
          </x14:formula1>
          <xm:sqref>B4</xm:sqref>
        </x14:dataValidation>
        <x14:dataValidation type="list" allowBlank="1" showInputMessage="1" showErrorMessage="1" xr:uid="{A6F196A8-8950-4F4C-8266-0E3E54C85A68}">
          <x14:formula1>
            <xm:f>Gegevenslijsten!$A$57:$A$59</xm:f>
          </x14:formula1>
          <xm:sqref>B23 B21</xm:sqref>
        </x14:dataValidation>
        <x14:dataValidation type="list" allowBlank="1" showInputMessage="1" showErrorMessage="1" xr:uid="{4BE0DB7F-2346-4F2B-ADA2-84AF46947B1B}">
          <x14:formula1>
            <xm:f>Gegevenslijsten!$A$37:$A$54</xm:f>
          </x14:formula1>
          <xm:sqref>B19</xm:sqref>
        </x14:dataValidation>
        <x14:dataValidation type="list" allowBlank="1" showInputMessage="1" showErrorMessage="1" xr:uid="{2B6419F7-0589-41DF-A26E-75F37479C837}">
          <x14:formula1>
            <xm:f>Gegevenslijsten!$A$104:$A$109</xm:f>
          </x14:formula1>
          <xm:sqref>F52</xm:sqref>
        </x14:dataValidation>
        <x14:dataValidation type="list" allowBlank="1" showInputMessage="1" showErrorMessage="1" xr:uid="{D667A59C-6D2D-41B7-8B43-F23D23757DCC}">
          <x14:formula1>
            <xm:f>Gegevenslijsten!$N$89:$N$90</xm:f>
          </x14:formula1>
          <xm:sqref>B22</xm:sqref>
        </x14:dataValidation>
        <x14:dataValidation type="list" allowBlank="1" showInputMessage="1" showErrorMessage="1" xr:uid="{2618EB9E-397D-42DE-AFB2-5925F73A9E4D}">
          <x14:formula1>
            <xm:f>Gegevenslijsten!$E$89:$E$91</xm:f>
          </x14:formula1>
          <xm:sqref>B24</xm:sqref>
        </x14:dataValidation>
        <x14:dataValidation type="list" allowBlank="1" showInputMessage="1" showErrorMessage="1" xr:uid="{C70F3DD3-6469-4EF6-8BF5-6814C636F943}">
          <x14:formula1>
            <xm:f>Gegevenslijsten!$N$1:$N$2</xm:f>
          </x14:formula1>
          <xm:sqref>B1</xm:sqref>
        </x14:dataValidation>
        <x14:dataValidation type="list" allowBlank="1" showInputMessage="1" showErrorMessage="1" xr:uid="{82F7CC8F-548B-48C4-A1EE-CF9A8716965C}">
          <x14:formula1>
            <xm:f>Gegevenslijsten!$A$58:$A$59</xm:f>
          </x14:formula1>
          <xm:sqref>B26</xm:sqref>
        </x14:dataValidation>
        <x14:dataValidation type="list" allowBlank="1" showInputMessage="1" showErrorMessage="1" xr:uid="{FCAF8BD7-2CB3-4595-AA78-440E7DEE5315}">
          <x14:formula1>
            <xm:f>Gegevenslijsten!$A$111:$A$113</xm:f>
          </x14:formula1>
          <xm:sqref>B63</xm:sqref>
        </x14:dataValidation>
        <x14:dataValidation type="list" allowBlank="1" showInputMessage="1" showErrorMessage="1" xr:uid="{9C39D818-DC69-4AF9-AA3D-32EB252CC181}">
          <x14:formula1>
            <xm:f>Gegevenslijsten!$H$2:$H$25</xm:f>
          </x14:formula1>
          <xm:sqref>B80:B83</xm:sqref>
        </x14:dataValidation>
        <x14:dataValidation type="list" allowBlank="1" showInputMessage="1" showErrorMessage="1" xr:uid="{3DDF472E-4D6B-48DA-80A5-67D723ADB46A}">
          <x14:formula1>
            <xm:f>Gegevenslijsten!$A$126:$A$127</xm:f>
          </x14:formula1>
          <xm:sqref>B100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5141-B492-4A69-AA36-650F42775957}">
  <sheetPr codeName="Blad3">
    <pageSetUpPr fitToPage="1"/>
  </sheetPr>
  <dimension ref="A1:AK87"/>
  <sheetViews>
    <sheetView zoomScaleNormal="100" workbookViewId="0">
      <selection activeCell="B15" sqref="B15"/>
    </sheetView>
  </sheetViews>
  <sheetFormatPr defaultRowHeight="14.4"/>
  <cols>
    <col min="1" max="1" width="33.88671875" bestFit="1" customWidth="1"/>
    <col min="2" max="2" width="30.44140625" bestFit="1" customWidth="1"/>
    <col min="3" max="3" width="53.33203125" bestFit="1" customWidth="1"/>
    <col min="4" max="4" width="27" customWidth="1"/>
    <col min="5" max="5" width="20.44140625" bestFit="1" customWidth="1"/>
    <col min="6" max="6" width="22.109375" bestFit="1" customWidth="1"/>
    <col min="7" max="7" width="16" bestFit="1" customWidth="1"/>
    <col min="8" max="8" width="22.33203125" bestFit="1" customWidth="1"/>
    <col min="9" max="9" width="17.6640625" bestFit="1" customWidth="1"/>
    <col min="10" max="10" width="18.5546875" customWidth="1"/>
    <col min="11" max="11" width="10.6640625" hidden="1" customWidth="1"/>
    <col min="12" max="12" width="31.5546875" hidden="1" customWidth="1"/>
    <col min="13" max="13" width="10.44140625" hidden="1" customWidth="1"/>
    <col min="14" max="24" width="8.88671875" hidden="1" customWidth="1"/>
    <col min="25" max="26" width="8.88671875" customWidth="1"/>
    <col min="27" max="27" width="15.44140625" hidden="1" customWidth="1"/>
    <col min="28" max="28" width="0" hidden="1" customWidth="1"/>
    <col min="29" max="29" width="7" bestFit="1" customWidth="1"/>
  </cols>
  <sheetData>
    <row r="1" spans="1:28">
      <c r="A1" s="5" t="str">
        <f ca="1">K1</f>
        <v/>
      </c>
      <c r="B1" s="273">
        <f ca="1">SIMUL!B4</f>
        <v>46143</v>
      </c>
      <c r="C1" s="4">
        <f ca="1">EOMONTH(B1,0)</f>
        <v>46173</v>
      </c>
      <c r="D1" s="5"/>
      <c r="I1">
        <f ca="1">SIMUL!EZ1</f>
        <v>0</v>
      </c>
      <c r="K1" t="str">
        <f ca="1">IF($I$1="Nederlands",L1,(IF($I$1="Français",M1,"")))</f>
        <v/>
      </c>
      <c r="L1" t="s">
        <v>37</v>
      </c>
      <c r="M1" t="s">
        <v>457</v>
      </c>
      <c r="AA1" t="s">
        <v>300</v>
      </c>
    </row>
    <row r="2" spans="1:28">
      <c r="A2" s="5" t="str">
        <f t="shared" ref="A2:A65" ca="1" si="0">K2</f>
        <v/>
      </c>
      <c r="B2" s="6"/>
      <c r="C2" s="5"/>
      <c r="D2" s="5"/>
      <c r="K2" t="str">
        <f t="shared" ref="K2:K65" ca="1" si="1">IF($I$1="Nederlands",L2,(IF($I$1="Français",M2,"")))</f>
        <v/>
      </c>
      <c r="L2" t="s">
        <v>38</v>
      </c>
      <c r="M2" t="s">
        <v>458</v>
      </c>
    </row>
    <row r="3" spans="1:28">
      <c r="A3" s="5" t="str">
        <f t="shared" ca="1" si="0"/>
        <v/>
      </c>
      <c r="B3" s="209">
        <f ca="1">BBSZ!D2</f>
        <v>2.1646999999999998</v>
      </c>
      <c r="C3" s="5"/>
      <c r="D3" s="5"/>
      <c r="K3" t="str">
        <f t="shared" ca="1" si="1"/>
        <v/>
      </c>
      <c r="L3" t="s">
        <v>223</v>
      </c>
      <c r="M3" t="s">
        <v>223</v>
      </c>
      <c r="AA3" t="s">
        <v>215</v>
      </c>
      <c r="AB3" s="204">
        <f>'SIMUL SSGPI'!B49</f>
        <v>0</v>
      </c>
    </row>
    <row r="4" spans="1:28">
      <c r="A4" s="5"/>
      <c r="B4" s="5"/>
      <c r="C4" s="5"/>
      <c r="D4" s="5"/>
      <c r="K4" t="str">
        <f t="shared" ca="1" si="1"/>
        <v/>
      </c>
      <c r="L4" t="s">
        <v>534</v>
      </c>
      <c r="M4" t="s">
        <v>535</v>
      </c>
    </row>
    <row r="5" spans="1:28">
      <c r="A5" s="5" t="str">
        <f t="shared" ca="1" si="0"/>
        <v/>
      </c>
      <c r="B5" s="204" t="e">
        <f ca="1">SIMUL!D8</f>
        <v>#N/A</v>
      </c>
      <c r="C5" s="210" t="str">
        <f ca="1">K4</f>
        <v/>
      </c>
      <c r="D5" s="211" t="e">
        <f>SIMUL!B6</f>
        <v>#N/A</v>
      </c>
      <c r="E5" s="204" t="e">
        <f ca="1">B5*index*breuk*B8/(12*B9)</f>
        <v>#N/A</v>
      </c>
      <c r="K5" t="str">
        <f t="shared" ca="1" si="1"/>
        <v/>
      </c>
      <c r="L5" t="s">
        <v>39</v>
      </c>
      <c r="M5" t="s">
        <v>459</v>
      </c>
    </row>
    <row r="6" spans="1:28">
      <c r="A6" s="5" t="str">
        <f t="shared" ca="1" si="0"/>
        <v/>
      </c>
      <c r="B6" s="204">
        <f>SIMUL!D44</f>
        <v>0</v>
      </c>
      <c r="C6" s="210" t="s">
        <v>64</v>
      </c>
      <c r="D6" s="212">
        <f>SIMUL!B44</f>
        <v>0</v>
      </c>
      <c r="E6" s="204">
        <f ca="1">B6*index*breuk*B8/(12*B9)</f>
        <v>0</v>
      </c>
      <c r="K6" t="str">
        <f t="shared" ca="1" si="1"/>
        <v/>
      </c>
      <c r="L6" t="s">
        <v>63</v>
      </c>
      <c r="M6" t="s">
        <v>460</v>
      </c>
    </row>
    <row r="7" spans="1:28">
      <c r="A7" s="5" t="str">
        <f t="shared" ca="1" si="0"/>
        <v/>
      </c>
      <c r="B7" s="1">
        <f>SIMUL!B11/38</f>
        <v>1</v>
      </c>
      <c r="C7" s="5"/>
      <c r="D7" s="5"/>
      <c r="K7" t="str">
        <f t="shared" ca="1" si="1"/>
        <v/>
      </c>
      <c r="L7" t="s">
        <v>40</v>
      </c>
      <c r="M7" t="s">
        <v>461</v>
      </c>
    </row>
    <row r="8" spans="1:28">
      <c r="A8" s="5" t="str">
        <f t="shared" ca="1" si="0"/>
        <v/>
      </c>
      <c r="B8" s="7">
        <f ca="1">IF(C8&lt;0,0,C8)</f>
        <v>21</v>
      </c>
      <c r="C8" s="5">
        <f ca="1">B9-D8</f>
        <v>21</v>
      </c>
      <c r="D8" s="5">
        <f>SIMUL!D83</f>
        <v>0</v>
      </c>
      <c r="K8" t="str">
        <f t="shared" ca="1" si="1"/>
        <v/>
      </c>
      <c r="L8" t="s">
        <v>41</v>
      </c>
      <c r="M8" t="s">
        <v>462</v>
      </c>
    </row>
    <row r="9" spans="1:28">
      <c r="A9" s="5" t="str">
        <f t="shared" ca="1" si="0"/>
        <v/>
      </c>
      <c r="B9" s="7">
        <f ca="1">NETWORKDAYS(B1,C1,0)</f>
        <v>21</v>
      </c>
      <c r="C9" s="5"/>
      <c r="D9" s="5"/>
      <c r="K9" t="str">
        <f t="shared" ca="1" si="1"/>
        <v/>
      </c>
      <c r="L9" t="s">
        <v>42</v>
      </c>
      <c r="M9" t="s">
        <v>463</v>
      </c>
    </row>
    <row r="10" spans="1:28">
      <c r="A10" s="5" t="str">
        <f t="shared" ca="1" si="0"/>
        <v/>
      </c>
      <c r="B10" s="204" t="e">
        <f ca="1">(B5+B6)*index*breuk*B8/(12*B9)</f>
        <v>#N/A</v>
      </c>
      <c r="C10" s="5" t="e">
        <f ca="1">(B5+B6)*B3/12</f>
        <v>#N/A</v>
      </c>
      <c r="D10" s="5"/>
      <c r="K10" t="str">
        <f t="shared" ca="1" si="1"/>
        <v/>
      </c>
      <c r="L10" t="s">
        <v>43</v>
      </c>
      <c r="M10" t="s">
        <v>464</v>
      </c>
    </row>
    <row r="11" spans="1:28">
      <c r="A11" s="5" t="str">
        <f t="shared" ca="1" si="0"/>
        <v/>
      </c>
      <c r="B11" s="204" t="e">
        <f ca="1">ROUND(B10*0.0355,2)</f>
        <v>#N/A</v>
      </c>
      <c r="C11" s="5"/>
      <c r="D11" s="5"/>
      <c r="K11" t="str">
        <f t="shared" ca="1" si="1"/>
        <v/>
      </c>
      <c r="L11" t="s">
        <v>44</v>
      </c>
      <c r="M11" t="s">
        <v>465</v>
      </c>
    </row>
    <row r="12" spans="1:28">
      <c r="A12" s="5" t="str">
        <f t="shared" ca="1" si="0"/>
        <v/>
      </c>
      <c r="B12" s="204" t="e">
        <f ca="1">ROUND(B10*0.075,2)</f>
        <v>#N/A</v>
      </c>
      <c r="C12" s="5"/>
      <c r="D12" s="5"/>
      <c r="K12" t="str">
        <f t="shared" ca="1" si="1"/>
        <v/>
      </c>
      <c r="L12" t="s">
        <v>45</v>
      </c>
      <c r="M12" t="s">
        <v>466</v>
      </c>
    </row>
    <row r="13" spans="1:28">
      <c r="A13" s="5"/>
      <c r="B13" s="5"/>
      <c r="C13" s="5"/>
      <c r="D13" s="5"/>
      <c r="K13" t="str">
        <f t="shared" ca="1" si="1"/>
        <v/>
      </c>
      <c r="L13" t="s">
        <v>524</v>
      </c>
      <c r="M13" t="s">
        <v>525</v>
      </c>
    </row>
    <row r="14" spans="1:28">
      <c r="A14" s="5" t="str">
        <f t="shared" ca="1" si="0"/>
        <v/>
      </c>
      <c r="B14" s="8" t="str">
        <f ca="1">SIMUL!B9</f>
        <v/>
      </c>
      <c r="C14" s="5"/>
      <c r="D14" s="5"/>
      <c r="K14" t="str">
        <f t="shared" ca="1" si="1"/>
        <v/>
      </c>
      <c r="L14" t="s">
        <v>224</v>
      </c>
      <c r="M14" t="s">
        <v>467</v>
      </c>
    </row>
    <row r="15" spans="1:28">
      <c r="A15" s="5" t="str">
        <f t="shared" ca="1" si="0"/>
        <v/>
      </c>
      <c r="B15" s="204">
        <f ca="1">SIMUL!D9</f>
        <v>0</v>
      </c>
      <c r="C15" s="5"/>
      <c r="D15" s="5"/>
      <c r="K15" t="str">
        <f t="shared" ca="1" si="1"/>
        <v/>
      </c>
      <c r="L15" t="s">
        <v>46</v>
      </c>
      <c r="M15" t="s">
        <v>468</v>
      </c>
    </row>
    <row r="16" spans="1:28">
      <c r="A16" s="5" t="str">
        <f t="shared" ca="1" si="0"/>
        <v/>
      </c>
      <c r="B16" s="204">
        <f ca="1">ROUND(B15*index*breuk*B8/(12*B9),2)</f>
        <v>0</v>
      </c>
      <c r="C16" s="5"/>
      <c r="D16" s="5"/>
      <c r="K16" t="str">
        <f t="shared" ca="1" si="1"/>
        <v/>
      </c>
      <c r="L16" t="s">
        <v>47</v>
      </c>
      <c r="M16" t="s">
        <v>469</v>
      </c>
    </row>
    <row r="17" spans="1:13">
      <c r="A17" s="5"/>
      <c r="B17" s="5"/>
      <c r="C17" s="5"/>
      <c r="D17" s="5"/>
      <c r="K17" t="str">
        <f t="shared" ca="1" si="1"/>
        <v/>
      </c>
      <c r="L17" t="s">
        <v>511</v>
      </c>
      <c r="M17" t="s">
        <v>510</v>
      </c>
    </row>
    <row r="18" spans="1:13">
      <c r="A18" s="5" t="str">
        <f t="shared" ca="1" si="0"/>
        <v/>
      </c>
      <c r="B18" s="8" t="str">
        <f>IF(SIMUL!B19="","",SIMUL!B19)</f>
        <v/>
      </c>
      <c r="C18" s="5" t="str">
        <f ca="1">SIMUL!A26</f>
        <v/>
      </c>
      <c r="D18" t="str">
        <f ca="1">SIMUL!A34</f>
        <v/>
      </c>
      <c r="E18" t="str">
        <f ca="1">K17</f>
        <v/>
      </c>
      <c r="F18" t="s">
        <v>512</v>
      </c>
      <c r="G18" t="s">
        <v>513</v>
      </c>
      <c r="H18" t="str">
        <f ca="1">SIMUL!A27</f>
        <v/>
      </c>
      <c r="I18" t="s">
        <v>540</v>
      </c>
      <c r="K18" t="str">
        <f t="shared" ca="1" si="1"/>
        <v/>
      </c>
      <c r="L18" t="s">
        <v>225</v>
      </c>
      <c r="M18" t="s">
        <v>470</v>
      </c>
    </row>
    <row r="19" spans="1:13">
      <c r="A19" s="5" t="str">
        <f t="shared" ca="1" si="0"/>
        <v/>
      </c>
      <c r="B19" s="5">
        <f>SIMUL!D19</f>
        <v>0</v>
      </c>
      <c r="C19" s="5">
        <f>SIMUL!D26</f>
        <v>0</v>
      </c>
      <c r="D19">
        <f>SIMUL!D35</f>
        <v>0</v>
      </c>
      <c r="E19" t="e">
        <f ca="1">SIMUL!D36</f>
        <v>#N/A</v>
      </c>
      <c r="F19">
        <f>SIMUL!D21</f>
        <v>0</v>
      </c>
      <c r="G19" t="e">
        <f ca="1">SIMUL!D28</f>
        <v>#N/A</v>
      </c>
      <c r="H19" s="5">
        <f>SIMUL!D27</f>
        <v>0</v>
      </c>
      <c r="I19">
        <f>SIMUL!D20</f>
        <v>0</v>
      </c>
      <c r="K19" t="str">
        <f t="shared" ca="1" si="1"/>
        <v/>
      </c>
      <c r="L19" t="s">
        <v>46</v>
      </c>
      <c r="M19" t="s">
        <v>468</v>
      </c>
    </row>
    <row r="20" spans="1:13">
      <c r="A20" s="5" t="str">
        <f t="shared" ca="1" si="0"/>
        <v/>
      </c>
      <c r="B20" s="204">
        <f ca="1">ROUND(B19*index*breuk*$B$8/(12*$B$9),2)</f>
        <v>0</v>
      </c>
      <c r="C20" s="204">
        <f ca="1">ROUND(C19*index*breuk*$B$8/(12*$B$9),2)</f>
        <v>0</v>
      </c>
      <c r="D20" s="204">
        <f t="shared" ref="D20:I20" ca="1" si="2">ROUND(D19*index*breuk*$B$8/(12*$B$9),2)</f>
        <v>0</v>
      </c>
      <c r="E20" s="204" t="e">
        <f t="shared" ca="1" si="2"/>
        <v>#N/A</v>
      </c>
      <c r="F20" s="204">
        <f t="shared" ca="1" si="2"/>
        <v>0</v>
      </c>
      <c r="G20" s="204" t="e">
        <f t="shared" ca="1" si="2"/>
        <v>#N/A</v>
      </c>
      <c r="H20" s="204">
        <f t="shared" ca="1" si="2"/>
        <v>0</v>
      </c>
      <c r="I20" s="204">
        <f t="shared" ca="1" si="2"/>
        <v>0</v>
      </c>
      <c r="K20" t="str">
        <f t="shared" ca="1" si="1"/>
        <v/>
      </c>
      <c r="L20" t="s">
        <v>47</v>
      </c>
      <c r="M20" t="s">
        <v>469</v>
      </c>
    </row>
    <row r="21" spans="1:13">
      <c r="A21" s="5" t="str">
        <f t="shared" ca="1" si="0"/>
        <v/>
      </c>
      <c r="B21" s="204">
        <f ca="1">ROUND(B20*0.0355,2)</f>
        <v>0</v>
      </c>
      <c r="C21" s="204">
        <f ca="1">ROUND(C20*0.0355,2)</f>
        <v>0</v>
      </c>
      <c r="D21" s="204">
        <f t="shared" ref="D21:I21" ca="1" si="3">ROUND(D20*0.0355,2)</f>
        <v>0</v>
      </c>
      <c r="E21" s="204" t="e">
        <f t="shared" ca="1" si="3"/>
        <v>#N/A</v>
      </c>
      <c r="F21" s="204">
        <f t="shared" ca="1" si="3"/>
        <v>0</v>
      </c>
      <c r="G21" s="204" t="e">
        <f t="shared" ca="1" si="3"/>
        <v>#N/A</v>
      </c>
      <c r="H21" s="204">
        <f t="shared" ca="1" si="3"/>
        <v>0</v>
      </c>
      <c r="I21" s="204">
        <f t="shared" ca="1" si="3"/>
        <v>0</v>
      </c>
      <c r="K21" t="str">
        <f t="shared" ca="1" si="1"/>
        <v/>
      </c>
      <c r="L21" t="s">
        <v>48</v>
      </c>
      <c r="M21" t="s">
        <v>471</v>
      </c>
    </row>
    <row r="22" spans="1:13">
      <c r="A22" s="5"/>
      <c r="B22" s="5"/>
      <c r="C22" s="5"/>
      <c r="D22" s="5"/>
      <c r="K22" t="str">
        <f t="shared" ca="1" si="1"/>
        <v/>
      </c>
      <c r="L22" t="s">
        <v>516</v>
      </c>
      <c r="M22" t="s">
        <v>517</v>
      </c>
    </row>
    <row r="23" spans="1:13">
      <c r="A23" s="5" t="str">
        <f t="shared" ca="1" si="0"/>
        <v/>
      </c>
      <c r="B23" s="8" t="s">
        <v>514</v>
      </c>
      <c r="C23" s="5" t="s">
        <v>515</v>
      </c>
      <c r="D23" s="5" t="s">
        <v>301</v>
      </c>
      <c r="E23" t="str">
        <f ca="1">K22</f>
        <v/>
      </c>
      <c r="F23" t="str">
        <f ca="1">K27</f>
        <v/>
      </c>
      <c r="G23" t="str">
        <f ca="1">K32</f>
        <v/>
      </c>
      <c r="H23" t="str">
        <f ca="1">K37</f>
        <v/>
      </c>
      <c r="I23" t="s">
        <v>541</v>
      </c>
      <c r="K23" t="str">
        <f t="shared" ca="1" si="1"/>
        <v/>
      </c>
      <c r="L23" t="s">
        <v>225</v>
      </c>
      <c r="M23" t="s">
        <v>470</v>
      </c>
    </row>
    <row r="24" spans="1:13">
      <c r="A24" s="5" t="str">
        <f t="shared" ca="1" si="0"/>
        <v/>
      </c>
      <c r="B24" s="5">
        <f>SIMUL!D45</f>
        <v>0</v>
      </c>
      <c r="C24" s="5">
        <f>SIMUL!D46</f>
        <v>0</v>
      </c>
      <c r="D24" s="5">
        <f>SIMUL!D47</f>
        <v>0</v>
      </c>
      <c r="E24">
        <f>SIMUL!D31</f>
        <v>0</v>
      </c>
      <c r="F24">
        <f>SIMUL!D32</f>
        <v>0</v>
      </c>
      <c r="G24">
        <f>SIMUL!D23</f>
        <v>0</v>
      </c>
      <c r="H24">
        <f>SIMUL!D24</f>
        <v>0</v>
      </c>
      <c r="I24">
        <f>SIMUL!D22</f>
        <v>0</v>
      </c>
      <c r="K24" t="str">
        <f t="shared" ca="1" si="1"/>
        <v/>
      </c>
      <c r="L24" t="s">
        <v>46</v>
      </c>
      <c r="M24" t="s">
        <v>472</v>
      </c>
    </row>
    <row r="25" spans="1:13">
      <c r="A25" s="5" t="str">
        <f t="shared" ca="1" si="0"/>
        <v/>
      </c>
      <c r="B25" s="204">
        <f t="shared" ref="B25:G25" ca="1" si="4">ROUND(B24*index*breuk*$B$8/(12*$B$9),2)</f>
        <v>0</v>
      </c>
      <c r="C25" s="204">
        <f t="shared" ca="1" si="4"/>
        <v>0</v>
      </c>
      <c r="D25" s="204">
        <f t="shared" ca="1" si="4"/>
        <v>0</v>
      </c>
      <c r="E25" s="204">
        <f t="shared" ca="1" si="4"/>
        <v>0</v>
      </c>
      <c r="F25" s="204">
        <f t="shared" ca="1" si="4"/>
        <v>0</v>
      </c>
      <c r="G25" s="204">
        <f t="shared" ca="1" si="4"/>
        <v>0</v>
      </c>
      <c r="H25" s="204">
        <f ca="1">ROUND(H24*index*breuk*$B$8/(12*$B$9),2)</f>
        <v>0</v>
      </c>
      <c r="I25" s="204">
        <f ca="1">ROUND(I24*index*breuk*$B$8/(12*$B$9),2)</f>
        <v>0</v>
      </c>
      <c r="K25" t="str">
        <f t="shared" ca="1" si="1"/>
        <v/>
      </c>
      <c r="L25" t="s">
        <v>47</v>
      </c>
      <c r="M25" t="s">
        <v>469</v>
      </c>
    </row>
    <row r="26" spans="1:13">
      <c r="A26" s="5" t="str">
        <f t="shared" ca="1" si="0"/>
        <v/>
      </c>
      <c r="B26" s="204">
        <f t="shared" ref="B26:I26" ca="1" si="5">ROUND(B25*0.0355,2)</f>
        <v>0</v>
      </c>
      <c r="C26" s="204">
        <f t="shared" ca="1" si="5"/>
        <v>0</v>
      </c>
      <c r="D26" s="204">
        <f t="shared" ca="1" si="5"/>
        <v>0</v>
      </c>
      <c r="E26" s="204">
        <f t="shared" ca="1" si="5"/>
        <v>0</v>
      </c>
      <c r="F26" s="204">
        <f t="shared" ca="1" si="5"/>
        <v>0</v>
      </c>
      <c r="G26" s="204">
        <f t="shared" ca="1" si="5"/>
        <v>0</v>
      </c>
      <c r="H26" s="204">
        <f t="shared" ca="1" si="5"/>
        <v>0</v>
      </c>
      <c r="I26" s="204">
        <f t="shared" ca="1" si="5"/>
        <v>0</v>
      </c>
      <c r="K26" t="str">
        <f t="shared" ca="1" si="1"/>
        <v/>
      </c>
      <c r="L26" t="s">
        <v>48</v>
      </c>
      <c r="M26" t="s">
        <v>471</v>
      </c>
    </row>
    <row r="27" spans="1:13">
      <c r="A27" s="5"/>
      <c r="B27" s="5"/>
      <c r="C27" s="5"/>
      <c r="D27" s="5"/>
      <c r="K27" t="str">
        <f t="shared" ca="1" si="1"/>
        <v/>
      </c>
      <c r="L27" t="s">
        <v>518</v>
      </c>
      <c r="M27" t="s">
        <v>519</v>
      </c>
    </row>
    <row r="28" spans="1:13">
      <c r="A28" s="5" t="str">
        <f t="shared" ca="1" si="0"/>
        <v/>
      </c>
      <c r="B28" s="5"/>
      <c r="C28" s="5"/>
      <c r="D28" s="5" t="s">
        <v>183</v>
      </c>
      <c r="E28" s="204">
        <f ca="1">B20+I20+G25+H25+F20+I25</f>
        <v>0</v>
      </c>
      <c r="K28" t="str">
        <f t="shared" ca="1" si="1"/>
        <v/>
      </c>
      <c r="L28" t="s">
        <v>49</v>
      </c>
      <c r="M28" t="s">
        <v>473</v>
      </c>
    </row>
    <row r="29" spans="1:13">
      <c r="A29" s="5" t="str">
        <f t="shared" ca="1" si="0"/>
        <v/>
      </c>
      <c r="B29" s="14" t="e">
        <f>SIMUL!D41</f>
        <v>#N/A</v>
      </c>
      <c r="C29" s="5"/>
      <c r="D29" s="5" t="s">
        <v>302</v>
      </c>
      <c r="E29" s="204" t="e">
        <f ca="1">C20+H20+G20</f>
        <v>#N/A</v>
      </c>
      <c r="K29" t="str">
        <f t="shared" ca="1" si="1"/>
        <v/>
      </c>
      <c r="L29" t="s">
        <v>46</v>
      </c>
      <c r="M29" t="s">
        <v>468</v>
      </c>
    </row>
    <row r="30" spans="1:13">
      <c r="A30" s="5" t="str">
        <f t="shared" ca="1" si="0"/>
        <v/>
      </c>
      <c r="B30" s="204" t="e">
        <f ca="1">ROUND(B29*index*breuk*B8/B9,2)</f>
        <v>#N/A</v>
      </c>
      <c r="C30" s="5"/>
      <c r="D30" s="5" t="s">
        <v>537</v>
      </c>
      <c r="E30" s="204">
        <f ca="1">E25+F25</f>
        <v>0</v>
      </c>
      <c r="K30" t="str">
        <f t="shared" ca="1" si="1"/>
        <v/>
      </c>
      <c r="L30" t="s">
        <v>47</v>
      </c>
      <c r="M30" t="s">
        <v>469</v>
      </c>
    </row>
    <row r="31" spans="1:13">
      <c r="A31" s="5" t="str">
        <f t="shared" ca="1" si="0"/>
        <v/>
      </c>
      <c r="B31" s="204" t="e">
        <f ca="1">ROUND(B30*0.0355,2)</f>
        <v>#N/A</v>
      </c>
      <c r="C31" s="5"/>
      <c r="D31" s="5"/>
      <c r="K31" t="str">
        <f t="shared" ca="1" si="1"/>
        <v/>
      </c>
      <c r="L31" t="s">
        <v>48</v>
      </c>
      <c r="M31" t="s">
        <v>471</v>
      </c>
    </row>
    <row r="32" spans="1:13">
      <c r="A32" s="5"/>
      <c r="B32" s="5"/>
      <c r="C32" s="5"/>
      <c r="D32" s="5"/>
      <c r="K32" t="str">
        <f t="shared" ca="1" si="1"/>
        <v/>
      </c>
      <c r="L32" t="s">
        <v>521</v>
      </c>
      <c r="M32" t="s">
        <v>520</v>
      </c>
    </row>
    <row r="33" spans="1:37">
      <c r="A33" s="5">
        <f>AI38</f>
        <v>0</v>
      </c>
      <c r="B33" s="7">
        <f>SIMUL!D51</f>
        <v>0</v>
      </c>
      <c r="C33" s="5"/>
      <c r="D33" s="5"/>
    </row>
    <row r="34" spans="1:37">
      <c r="A34" s="5">
        <f>AI39</f>
        <v>0</v>
      </c>
      <c r="B34" s="13" t="s">
        <v>371</v>
      </c>
      <c r="C34" s="5"/>
      <c r="D34" s="5"/>
    </row>
    <row r="35" spans="1:37">
      <c r="A35" s="5" t="str">
        <f>AI40</f>
        <v>ZIV</v>
      </c>
      <c r="B35" s="13">
        <f>SIMUL!D53</f>
        <v>0</v>
      </c>
      <c r="C35" s="5"/>
      <c r="D35" s="5"/>
    </row>
    <row r="36" spans="1:37">
      <c r="A36" s="5">
        <f ca="1">AI41</f>
        <v>5.2600000000000001E-2</v>
      </c>
      <c r="B36" s="13">
        <f>B33+B35</f>
        <v>0</v>
      </c>
      <c r="C36" s="5"/>
      <c r="D36" s="5"/>
    </row>
    <row r="37" spans="1:37">
      <c r="A37" s="5"/>
      <c r="B37" s="5"/>
      <c r="C37" s="5"/>
      <c r="D37" s="5"/>
      <c r="K37" t="str">
        <f t="shared" ca="1" si="1"/>
        <v/>
      </c>
      <c r="L37" t="s">
        <v>522</v>
      </c>
      <c r="M37" t="s">
        <v>523</v>
      </c>
    </row>
    <row r="38" spans="1:37">
      <c r="A38" s="5" t="str">
        <f t="shared" ca="1" si="0"/>
        <v/>
      </c>
      <c r="B38" s="5" t="e">
        <f ca="1">B10+B16+B20+C20+D20+E20+F20+B25+C25+D25+E25+F25+G25+B30+B36+B50+G20+H20+H25+I20+I25</f>
        <v>#N/A</v>
      </c>
      <c r="C38" s="5"/>
      <c r="D38" s="5"/>
      <c r="E38">
        <f ca="1">IF(OR(SIMUL!B$100="Federale politie",SIMUL!B$100="Police fédérale"),AH41,AE41)</f>
        <v>0.28860000000000002</v>
      </c>
      <c r="F38" t="e">
        <f ca="1">ROUND(B38*E38,2)</f>
        <v>#N/A</v>
      </c>
      <c r="K38" t="str">
        <f t="shared" ca="1" si="1"/>
        <v/>
      </c>
      <c r="L38" t="s">
        <v>226</v>
      </c>
      <c r="M38" t="s">
        <v>474</v>
      </c>
      <c r="AD38" s="353" t="s">
        <v>574</v>
      </c>
      <c r="AE38" s="353"/>
      <c r="AF38" s="353"/>
      <c r="AG38" s="353"/>
      <c r="AH38" s="353"/>
      <c r="AI38" s="353"/>
      <c r="AJ38" s="353"/>
      <c r="AK38" s="353"/>
    </row>
    <row r="39" spans="1:37">
      <c r="A39" s="5" t="str">
        <f t="shared" ca="1" si="0"/>
        <v/>
      </c>
      <c r="B39" s="5" t="e">
        <f ca="1">ROUND(B10,2)</f>
        <v>#N/A</v>
      </c>
      <c r="C39" s="5"/>
      <c r="D39" s="5"/>
      <c r="E39">
        <f ca="1">IF(OR(SIMUL!B$100="Federale politie",SIMUL!B$100="Police fédérale"),AJ41,AG41)</f>
        <v>0.375</v>
      </c>
      <c r="F39" t="e">
        <f ca="1">ROUND(B39*E39,2)</f>
        <v>#N/A</v>
      </c>
      <c r="K39" t="str">
        <f t="shared" ca="1" si="1"/>
        <v/>
      </c>
      <c r="L39" t="s">
        <v>227</v>
      </c>
      <c r="M39" t="s">
        <v>475</v>
      </c>
      <c r="AD39" s="354" t="s">
        <v>575</v>
      </c>
      <c r="AE39" s="353" t="s">
        <v>571</v>
      </c>
      <c r="AF39" s="353"/>
      <c r="AG39" s="353"/>
      <c r="AH39" s="353" t="s">
        <v>579</v>
      </c>
      <c r="AI39" s="353"/>
      <c r="AJ39" s="353"/>
    </row>
    <row r="40" spans="1:37">
      <c r="A40" s="5" t="str">
        <f t="shared" ca="1" si="0"/>
        <v/>
      </c>
      <c r="B40" s="5" t="e">
        <f ca="1">B10+B20+C20+D20+E20+F20+B25+C25+D25+E25+F25+G25+B30+B33+G20+H25+H20+I20+I25</f>
        <v>#N/A</v>
      </c>
      <c r="C40" s="5" t="e">
        <f ca="1">B40+B50+D50</f>
        <v>#N/A</v>
      </c>
      <c r="D40" s="5"/>
      <c r="E40">
        <f ca="1">IF(OR(SIMUL!B$100="Federale politie",SIMUL!B$100="Police fédérale"),AI41,AF41)</f>
        <v>0.15479999999999999</v>
      </c>
      <c r="F40" t="e">
        <f ca="1">ROUND(B40*E40,2)</f>
        <v>#N/A</v>
      </c>
      <c r="K40" t="str">
        <f t="shared" ca="1" si="1"/>
        <v/>
      </c>
      <c r="L40" t="s">
        <v>228</v>
      </c>
      <c r="M40" t="s">
        <v>476</v>
      </c>
      <c r="AD40" s="354"/>
      <c r="AE40" t="s">
        <v>576</v>
      </c>
      <c r="AF40" t="s">
        <v>279</v>
      </c>
      <c r="AG40" t="s">
        <v>577</v>
      </c>
      <c r="AH40" t="s">
        <v>576</v>
      </c>
      <c r="AI40" t="s">
        <v>279</v>
      </c>
      <c r="AJ40" t="s">
        <v>577</v>
      </c>
      <c r="AK40" t="s">
        <v>578</v>
      </c>
    </row>
    <row r="41" spans="1:37">
      <c r="A41" s="5"/>
      <c r="B41" s="5"/>
      <c r="C41" s="5"/>
      <c r="D41" s="5"/>
      <c r="E41">
        <f ca="1">AK41</f>
        <v>1.5E-3</v>
      </c>
      <c r="F41" t="e">
        <f ca="1">ROUND(B40*E41,2)</f>
        <v>#N/A</v>
      </c>
      <c r="K41" t="str">
        <f t="shared" ca="1" si="1"/>
        <v/>
      </c>
      <c r="L41" t="s">
        <v>526</v>
      </c>
      <c r="M41" t="s">
        <v>527</v>
      </c>
      <c r="AD41">
        <f ca="1">BBSZ!E2</f>
        <v>2026</v>
      </c>
      <c r="AE41">
        <f ca="1">VLOOKUP($AD$41,BBSZ!$V4:$AC24,2,FALSE)</f>
        <v>0.28860000000000002</v>
      </c>
      <c r="AF41">
        <f ca="1">VLOOKUP($AD$41,BBSZ!$V4:$AC24,3,FALSE)</f>
        <v>0.15479999999999999</v>
      </c>
      <c r="AG41">
        <f ca="1">VLOOKUP($AD$41,BBSZ!$V4:$AC24,4,FALSE)</f>
        <v>0.375</v>
      </c>
      <c r="AH41">
        <f ca="1">VLOOKUP($AD$41,BBSZ!$V4:$AC24,5,FALSE)</f>
        <v>0.23619999999999999</v>
      </c>
      <c r="AI41">
        <f ca="1">VLOOKUP($AD$41,BBSZ!$V4:$AC24,6,FALSE)</f>
        <v>5.2600000000000001E-2</v>
      </c>
      <c r="AJ41">
        <f ca="1">VLOOKUP($AD$41,BBSZ!$V4:$AC24,7,FALSE)</f>
        <v>0</v>
      </c>
      <c r="AK41">
        <f ca="1">VLOOKUP($AD$41,BBSZ!$V4:$AC24,8,FALSE)</f>
        <v>1.5E-3</v>
      </c>
    </row>
    <row r="42" spans="1:37">
      <c r="A42" s="5" t="str">
        <f t="shared" ca="1" si="0"/>
        <v/>
      </c>
      <c r="B42" s="204" t="e">
        <f ca="1">B40+B16</f>
        <v>#N/A</v>
      </c>
      <c r="C42" s="5">
        <f>SIMUL!B5</f>
        <v>0</v>
      </c>
      <c r="D42" s="5"/>
      <c r="G42" s="204"/>
      <c r="K42" t="str">
        <f t="shared" ca="1" si="1"/>
        <v/>
      </c>
      <c r="L42" t="s">
        <v>66</v>
      </c>
      <c r="M42" t="s">
        <v>477</v>
      </c>
    </row>
    <row r="43" spans="1:37">
      <c r="A43" s="5" t="str">
        <f t="shared" ca="1" si="0"/>
        <v/>
      </c>
      <c r="B43" s="204">
        <f>ROUND(IF(OR(SIMUL!B5="statutair",SIMUL!B5="statutaire"),'SIMUL SSGPI'!B39*'SIMUL SSGPI'!C43,0),2)</f>
        <v>0</v>
      </c>
      <c r="C43" s="1">
        <v>7.4999999999999997E-2</v>
      </c>
      <c r="D43" s="5"/>
      <c r="K43" t="str">
        <f t="shared" ca="1" si="1"/>
        <v/>
      </c>
      <c r="L43" t="s">
        <v>65</v>
      </c>
      <c r="M43" t="s">
        <v>478</v>
      </c>
    </row>
    <row r="44" spans="1:37">
      <c r="A44" s="5" t="str">
        <f t="shared" ca="1" si="0"/>
        <v/>
      </c>
      <c r="B44" s="204" t="e">
        <f ca="1">ROUND(IF(OR(SIMUL!B5="statutair",SIMUL!B5="statutaire"),'SIMUL SSGPI'!B40*'SIMUL SSGPI'!C44,'SIMUL SSGPI'!B42*'SIMUL SSGPI'!D44),2)</f>
        <v>#N/A</v>
      </c>
      <c r="C44" s="1">
        <v>3.5499999999999997E-2</v>
      </c>
      <c r="D44" s="1">
        <v>0.13070000000000001</v>
      </c>
      <c r="F44" t="e">
        <f ca="1">IF(OR(C42="contractueel",C42="contractuel(le)"),B44,B44+B51)</f>
        <v>#N/A</v>
      </c>
      <c r="K44" t="str">
        <f t="shared" ca="1" si="1"/>
        <v/>
      </c>
      <c r="L44" t="s">
        <v>229</v>
      </c>
      <c r="M44" t="s">
        <v>479</v>
      </c>
    </row>
    <row r="45" spans="1:37">
      <c r="A45" s="5" t="str">
        <f t="shared" ca="1" si="0"/>
        <v/>
      </c>
      <c r="B45" s="204" t="e">
        <f ca="1">IF(OR(SIMUL!B5="statutair",SIMUL!B5="statutaire"),0,IF(B44&lt;Werkbonus!D7,B44,Werkbonus!D7))</f>
        <v>#N/A</v>
      </c>
      <c r="C45" s="1"/>
      <c r="D45" s="1"/>
      <c r="K45" t="str">
        <f t="shared" ca="1" si="1"/>
        <v/>
      </c>
      <c r="L45" t="s">
        <v>230</v>
      </c>
      <c r="M45" t="s">
        <v>480</v>
      </c>
    </row>
    <row r="46" spans="1:37">
      <c r="A46" s="5" t="str">
        <f t="shared" ca="1" si="0"/>
        <v/>
      </c>
      <c r="B46" s="204" t="e">
        <f ca="1">B42-B43-B44+B45+B35</f>
        <v>#N/A</v>
      </c>
      <c r="C46" s="5" t="e">
        <f>BV!B1</f>
        <v>#N/A</v>
      </c>
      <c r="D46" s="5" t="str">
        <f ca="1">K41</f>
        <v/>
      </c>
      <c r="E46">
        <f>BV!B5</f>
        <v>0</v>
      </c>
      <c r="K46" t="str">
        <f t="shared" ca="1" si="1"/>
        <v/>
      </c>
      <c r="L46" t="s">
        <v>50</v>
      </c>
      <c r="M46" t="s">
        <v>481</v>
      </c>
    </row>
    <row r="47" spans="1:37">
      <c r="A47" s="5"/>
      <c r="B47" s="5"/>
      <c r="C47" s="5" t="e">
        <f>BV!B3</f>
        <v>#N/A</v>
      </c>
      <c r="D47" s="5"/>
    </row>
    <row r="48" spans="1:37">
      <c r="A48" s="5"/>
      <c r="B48" s="5"/>
      <c r="C48" s="5"/>
      <c r="D48" s="5"/>
      <c r="K48" t="str">
        <f t="shared" ca="1" si="1"/>
        <v/>
      </c>
      <c r="L48" t="s">
        <v>509</v>
      </c>
      <c r="M48" t="s">
        <v>508</v>
      </c>
    </row>
    <row r="49" spans="1:22">
      <c r="A49" s="5" t="str">
        <f t="shared" ca="1" si="0"/>
        <v/>
      </c>
      <c r="B49" s="204">
        <f>SIMUL!D14</f>
        <v>0</v>
      </c>
      <c r="C49" s="5" t="str">
        <f ca="1">K48</f>
        <v/>
      </c>
      <c r="D49" s="5">
        <f>SIMUL!D15</f>
        <v>0</v>
      </c>
      <c r="K49" t="str">
        <f t="shared" ca="1" si="1"/>
        <v/>
      </c>
      <c r="L49" t="s">
        <v>51</v>
      </c>
      <c r="M49" t="s">
        <v>482</v>
      </c>
    </row>
    <row r="50" spans="1:22">
      <c r="A50" s="5" t="str">
        <f t="shared" ca="1" si="0"/>
        <v/>
      </c>
      <c r="B50" s="204">
        <f ca="1">ROUND(B49*index*B8/B9,2)</f>
        <v>0</v>
      </c>
      <c r="C50" s="5" t="str">
        <f ca="1">K53</f>
        <v/>
      </c>
      <c r="D50" s="5">
        <f>D49</f>
        <v>0</v>
      </c>
      <c r="K50" t="str">
        <f t="shared" ca="1" si="1"/>
        <v/>
      </c>
      <c r="L50" t="s">
        <v>52</v>
      </c>
      <c r="M50" t="s">
        <v>483</v>
      </c>
    </row>
    <row r="51" spans="1:22">
      <c r="A51" s="5" t="str">
        <f t="shared" ca="1" si="0"/>
        <v/>
      </c>
      <c r="B51" s="204">
        <f ca="1">ROUND(IF(OR(SIMUL!B5="statutair",SIMUL!B5="statutaire"),'SIMUL SSGPI'!B50*'SIMUL SSGPI'!C44,'SIMUL SSGPI'!B50*'SIMUL SSGPI'!D44),2)</f>
        <v>0</v>
      </c>
      <c r="C51" s="5"/>
      <c r="D51" s="5"/>
      <c r="K51" t="str">
        <f t="shared" ca="1" si="1"/>
        <v/>
      </c>
      <c r="L51" t="s">
        <v>53</v>
      </c>
      <c r="M51" t="s">
        <v>484</v>
      </c>
    </row>
    <row r="52" spans="1:22">
      <c r="A52" s="5" t="str">
        <f t="shared" ca="1" si="0"/>
        <v/>
      </c>
      <c r="B52" s="204">
        <f ca="1">B50-B51</f>
        <v>0</v>
      </c>
      <c r="C52" s="5" t="str">
        <f ca="1">K56</f>
        <v/>
      </c>
      <c r="D52" s="5">
        <f>D49</f>
        <v>0</v>
      </c>
      <c r="E52" s="352" t="str">
        <f ca="1">K55</f>
        <v/>
      </c>
      <c r="F52" s="352"/>
      <c r="G52" s="352"/>
      <c r="K52" t="str">
        <f t="shared" ca="1" si="1"/>
        <v/>
      </c>
      <c r="L52" t="s">
        <v>54</v>
      </c>
      <c r="M52" t="s">
        <v>485</v>
      </c>
    </row>
    <row r="53" spans="1:22">
      <c r="A53" s="5"/>
      <c r="B53" s="5"/>
      <c r="C53" s="5"/>
      <c r="D53" s="5"/>
      <c r="E53" s="352" t="str">
        <f ca="1">T53</f>
        <v/>
      </c>
      <c r="F53" s="352" t="str">
        <f ca="1">T54</f>
        <v/>
      </c>
      <c r="G53" s="352"/>
      <c r="K53" t="str">
        <f t="shared" ca="1" si="1"/>
        <v/>
      </c>
      <c r="L53" t="s">
        <v>233</v>
      </c>
      <c r="M53" t="s">
        <v>483</v>
      </c>
      <c r="T53" t="str">
        <f ca="1">IF($I$1="Nederlands",U53,(IF($I$1="Français",V53,"")))</f>
        <v/>
      </c>
      <c r="U53" t="s">
        <v>6</v>
      </c>
      <c r="V53" t="s">
        <v>407</v>
      </c>
    </row>
    <row r="54" spans="1:22">
      <c r="A54" s="5" t="str">
        <f t="shared" ca="1" si="0"/>
        <v/>
      </c>
      <c r="B54" s="204" t="e">
        <f ca="1">IF(OR(SIMUL!B5="statutair",SIMUL!B5="statutaire"),'SIMUL SSGPI'!C40,'SIMUL SSGPI'!B38)</f>
        <v>#N/A</v>
      </c>
      <c r="C54" s="8"/>
      <c r="D54" s="5"/>
      <c r="E54" s="352"/>
      <c r="F54" s="9" t="str">
        <f ca="1">T55</f>
        <v/>
      </c>
      <c r="G54" s="9" t="str">
        <f ca="1">T56</f>
        <v/>
      </c>
      <c r="K54" t="str">
        <f t="shared" ca="1" si="1"/>
        <v/>
      </c>
      <c r="L54" t="s">
        <v>56</v>
      </c>
      <c r="M54" t="s">
        <v>486</v>
      </c>
      <c r="T54" t="str">
        <f ca="1">IF($I$1="Nederlands",U54,(IF($I$1="Français",V54,"")))</f>
        <v/>
      </c>
      <c r="U54" t="s">
        <v>528</v>
      </c>
      <c r="V54" t="s">
        <v>529</v>
      </c>
    </row>
    <row r="55" spans="1:22">
      <c r="A55" s="5" t="str">
        <f t="shared" ca="1" si="0"/>
        <v/>
      </c>
      <c r="B55" s="204" t="e">
        <f ca="1">IF(OR(BBSZ!E8="alleenstaande",BBSZ!E8="Isolé(e)"),alleenst,(IF(BV!B3=Gegevenslijsten!O12,gehuwdzink,gehuwdink)))</f>
        <v>#N/A</v>
      </c>
      <c r="C55" s="5"/>
      <c r="D55" s="5"/>
      <c r="E55" s="10" t="e">
        <f ca="1">ROUND(IF(B54&lt;1945.39,0,(IF(B54&lt;2190.19,(B54-1945.38)*0.0422,(IF(B54&lt;3737.01,10.33+(B54-2190.18)*0.011,(IF(B54&lt;4100.01,27.35+(B54-3737)*0.0338,(IF(B54&lt;6038.83,39.61+(B54-4100)*0.011,60.94))))))))),2)</f>
        <v>#N/A</v>
      </c>
      <c r="F55" s="10" t="e">
        <f ca="1">ROUND(IF(B54&lt;1945.39,0,(IF(B54&lt;2190.19,(B54-1945.38)*0.059,(IF(B54&lt;6038.83,14.44+(B54-2190.18)*0.011,60.94))))),2)</f>
        <v>#N/A</v>
      </c>
      <c r="G55" s="10" t="e">
        <f ca="1">IF(AND(B54&gt;1945.38,H55&lt;5.15),5.15,(IF(H55&gt;51.64,51.64,H55)))</f>
        <v>#N/A</v>
      </c>
      <c r="H55" t="e">
        <f ca="1">ROUND(IF(B54&lt;1095.1,0,(IF(B54&lt;1945.39,5.15,(IF(B54&lt;2190.19,(B54-1945.38)*0.059,(IF(B54&lt;6038.83,14.44+(B54-2190.18)*0.011,60.94))))))),2)</f>
        <v>#N/A</v>
      </c>
      <c r="K55" t="str">
        <f t="shared" ca="1" si="1"/>
        <v/>
      </c>
      <c r="L55" t="s">
        <v>55</v>
      </c>
      <c r="M55" t="s">
        <v>487</v>
      </c>
      <c r="T55" t="str">
        <f ca="1">IF($I$1="Nederlands",U55,(IF($I$1="Français",V55,"")))</f>
        <v/>
      </c>
      <c r="U55" t="s">
        <v>530</v>
      </c>
      <c r="V55" t="s">
        <v>531</v>
      </c>
    </row>
    <row r="56" spans="1:22">
      <c r="A56" s="5"/>
      <c r="B56" s="5"/>
      <c r="C56" s="5"/>
      <c r="D56" s="5"/>
      <c r="K56" t="str">
        <f t="shared" ca="1" si="1"/>
        <v/>
      </c>
      <c r="L56" t="s">
        <v>507</v>
      </c>
      <c r="M56" t="s">
        <v>506</v>
      </c>
      <c r="T56" t="str">
        <f ca="1">IF($I$1="Nederlands",U56,(IF($I$1="Français",V56,"")))</f>
        <v/>
      </c>
      <c r="U56" t="s">
        <v>532</v>
      </c>
      <c r="V56" t="s">
        <v>533</v>
      </c>
    </row>
    <row r="57" spans="1:22">
      <c r="A57" s="5" t="str">
        <f t="shared" ca="1" si="0"/>
        <v/>
      </c>
      <c r="B57" s="13" t="e">
        <f>BV!C51</f>
        <v>#N/A</v>
      </c>
      <c r="C57" s="5" t="str">
        <f ca="1">K62</f>
        <v/>
      </c>
      <c r="D57" s="204" t="e">
        <f ca="1">B46</f>
        <v>#N/A</v>
      </c>
      <c r="K57" t="str">
        <f t="shared" ca="1" si="1"/>
        <v/>
      </c>
      <c r="L57" t="s">
        <v>57</v>
      </c>
      <c r="M57" t="s">
        <v>488</v>
      </c>
    </row>
    <row r="58" spans="1:22">
      <c r="A58" s="5" t="str">
        <f t="shared" ca="1" si="0"/>
        <v/>
      </c>
      <c r="B58" s="204" t="e">
        <f ca="1">IF(OR(SIMUL!B5="contractueel",SIMUL!B5="contractuel(le)"),0,(IF(D57&lt;2256.98,D58,0)))</f>
        <v>#N/A</v>
      </c>
      <c r="C58" s="5"/>
      <c r="D58" s="5"/>
      <c r="K58" t="str">
        <f t="shared" ca="1" si="1"/>
        <v/>
      </c>
      <c r="L58" t="s">
        <v>232</v>
      </c>
      <c r="M58" t="s">
        <v>489</v>
      </c>
    </row>
    <row r="59" spans="1:22">
      <c r="A59" s="5" t="str">
        <f t="shared" ca="1" si="0"/>
        <v/>
      </c>
      <c r="B59" s="204" t="e">
        <f ca="1">BV!C45</f>
        <v>#N/A</v>
      </c>
      <c r="C59" s="5"/>
      <c r="D59" s="5"/>
      <c r="K59" t="str">
        <f t="shared" ca="1" si="1"/>
        <v/>
      </c>
      <c r="L59" t="s">
        <v>231</v>
      </c>
      <c r="M59" t="s">
        <v>490</v>
      </c>
    </row>
    <row r="60" spans="1:22">
      <c r="A60" s="5" t="str">
        <f t="shared" ca="1" si="0"/>
        <v/>
      </c>
      <c r="B60" s="204">
        <v>0</v>
      </c>
      <c r="C60" s="5"/>
      <c r="D60" s="5"/>
      <c r="K60" t="str">
        <f t="shared" ca="1" si="1"/>
        <v/>
      </c>
      <c r="L60" t="s">
        <v>58</v>
      </c>
      <c r="M60" t="s">
        <v>491</v>
      </c>
    </row>
    <row r="61" spans="1:22">
      <c r="A61" s="5" t="str">
        <f t="shared" ca="1" si="0"/>
        <v/>
      </c>
      <c r="B61" s="204" t="e">
        <f ca="1">IF(B57-B58-B59-B60&lt;0,0,B57-B58-B59-B60)</f>
        <v>#N/A</v>
      </c>
      <c r="C61" s="5"/>
      <c r="D61" s="5"/>
      <c r="K61" t="str">
        <f t="shared" ca="1" si="1"/>
        <v/>
      </c>
      <c r="L61" t="s">
        <v>59</v>
      </c>
      <c r="M61" s="72" t="s">
        <v>492</v>
      </c>
    </row>
    <row r="62" spans="1:22">
      <c r="A62" s="5"/>
      <c r="B62" s="5"/>
      <c r="C62" s="5"/>
      <c r="D62" s="5"/>
      <c r="K62" t="str">
        <f t="shared" ca="1" si="1"/>
        <v/>
      </c>
      <c r="L62" t="s">
        <v>68</v>
      </c>
      <c r="M62" t="s">
        <v>505</v>
      </c>
    </row>
    <row r="63" spans="1:22">
      <c r="A63" s="5" t="str">
        <f t="shared" ca="1" si="0"/>
        <v/>
      </c>
      <c r="B63" s="204">
        <f ca="1">ROUND(B52*0.1715,2)</f>
        <v>0</v>
      </c>
      <c r="C63" s="5" t="str">
        <f ca="1">K64</f>
        <v/>
      </c>
      <c r="D63" s="5">
        <f>ROUND(D52*0.1715,2)</f>
        <v>0</v>
      </c>
      <c r="K63" t="str">
        <f t="shared" ca="1" si="1"/>
        <v/>
      </c>
      <c r="L63" t="s">
        <v>503</v>
      </c>
      <c r="M63" t="s">
        <v>493</v>
      </c>
    </row>
    <row r="64" spans="1:22">
      <c r="A64" s="5"/>
      <c r="B64" s="5"/>
      <c r="C64" s="5"/>
      <c r="D64" s="5"/>
      <c r="K64" t="str">
        <f t="shared" ca="1" si="1"/>
        <v/>
      </c>
      <c r="L64" t="s">
        <v>504</v>
      </c>
      <c r="M64" t="s">
        <v>502</v>
      </c>
    </row>
    <row r="65" spans="1:13">
      <c r="A65" s="5" t="str">
        <f t="shared" ca="1" si="0"/>
        <v/>
      </c>
      <c r="B65" s="13">
        <f>SIMUL!D57</f>
        <v>0</v>
      </c>
      <c r="C65" s="5"/>
      <c r="D65" s="5"/>
      <c r="K65" t="str">
        <f t="shared" ca="1" si="1"/>
        <v/>
      </c>
      <c r="L65" t="s">
        <v>60</v>
      </c>
      <c r="M65" t="s">
        <v>494</v>
      </c>
    </row>
    <row r="66" spans="1:13">
      <c r="A66" s="5" t="str">
        <f t="shared" ref="A66:A83" ca="1" si="6">K66</f>
        <v/>
      </c>
      <c r="B66" s="204">
        <f ca="1">ROUND(B65*index*breuk*B8/B9,2)</f>
        <v>0</v>
      </c>
      <c r="C66" s="5"/>
      <c r="D66" s="5"/>
      <c r="K66" t="str">
        <f t="shared" ref="K66:K87" ca="1" si="7">IF($I$1="Nederlands",L66,(IF($I$1="Français",M66,"")))</f>
        <v/>
      </c>
      <c r="L66" t="s">
        <v>47</v>
      </c>
      <c r="M66" t="s">
        <v>469</v>
      </c>
    </row>
    <row r="67" spans="1:13">
      <c r="A67" s="5"/>
      <c r="B67" s="5"/>
      <c r="C67" s="5"/>
      <c r="D67" s="5"/>
    </row>
    <row r="68" spans="1:13">
      <c r="A68" s="5" t="str">
        <f t="shared" ca="1" si="6"/>
        <v/>
      </c>
      <c r="B68" s="13" t="e">
        <f>SIMUL!D58</f>
        <v>#N/A</v>
      </c>
      <c r="C68" s="5"/>
      <c r="D68" s="5"/>
      <c r="K68" t="str">
        <f t="shared" ca="1" si="7"/>
        <v/>
      </c>
      <c r="L68" t="s">
        <v>61</v>
      </c>
      <c r="M68" t="s">
        <v>495</v>
      </c>
    </row>
    <row r="69" spans="1:13">
      <c r="A69" s="5" t="str">
        <f t="shared" ca="1" si="6"/>
        <v/>
      </c>
      <c r="B69" s="204" t="e">
        <f ca="1">ROUND(B68*index*breuk*B8/B9,2)</f>
        <v>#N/A</v>
      </c>
      <c r="C69" s="5"/>
      <c r="D69" s="5"/>
      <c r="K69" t="str">
        <f t="shared" ca="1" si="7"/>
        <v/>
      </c>
      <c r="L69" t="s">
        <v>47</v>
      </c>
      <c r="M69" t="s">
        <v>469</v>
      </c>
    </row>
    <row r="70" spans="1:13">
      <c r="A70" s="5"/>
      <c r="B70" s="5"/>
      <c r="C70" s="5"/>
      <c r="D70" s="5"/>
    </row>
    <row r="71" spans="1:13">
      <c r="A71" s="5" t="str">
        <f t="shared" ca="1" si="6"/>
        <v/>
      </c>
      <c r="B71" s="13" t="e">
        <f>SIMUL!D60</f>
        <v>#N/A</v>
      </c>
      <c r="C71" s="5"/>
      <c r="D71" s="5"/>
      <c r="K71" t="str">
        <f t="shared" ca="1" si="7"/>
        <v/>
      </c>
      <c r="L71" t="s">
        <v>67</v>
      </c>
      <c r="M71" t="s">
        <v>496</v>
      </c>
    </row>
    <row r="72" spans="1:13">
      <c r="A72" s="5" t="str">
        <f t="shared" ca="1" si="6"/>
        <v/>
      </c>
      <c r="B72" s="204" t="e">
        <f ca="1">ROUND(B71*index*breuk*B8/B9,2)</f>
        <v>#N/A</v>
      </c>
      <c r="C72" s="5"/>
      <c r="D72" s="5"/>
      <c r="K72" t="str">
        <f t="shared" ca="1" si="7"/>
        <v/>
      </c>
      <c r="L72" t="s">
        <v>47</v>
      </c>
      <c r="M72" t="s">
        <v>469</v>
      </c>
    </row>
    <row r="73" spans="1:13">
      <c r="A73" s="5"/>
      <c r="B73" s="5"/>
      <c r="C73" s="5"/>
      <c r="D73" s="5"/>
    </row>
    <row r="74" spans="1:13">
      <c r="A74" s="5" t="str">
        <f t="shared" ca="1" si="6"/>
        <v/>
      </c>
      <c r="B74" s="13">
        <f>IF(OR(SIMUL!B61="ja",SIMUL!B61="oui"),74.37,0)</f>
        <v>0</v>
      </c>
      <c r="C74" s="5"/>
      <c r="D74" s="5"/>
      <c r="K74" t="str">
        <f t="shared" ca="1" si="7"/>
        <v/>
      </c>
      <c r="L74" t="s">
        <v>497</v>
      </c>
      <c r="M74" t="s">
        <v>498</v>
      </c>
    </row>
    <row r="75" spans="1:13">
      <c r="A75" s="5" t="str">
        <f t="shared" ca="1" si="6"/>
        <v/>
      </c>
      <c r="B75" s="204">
        <f ca="1">ROUND(B74*SIMUL!B62*index*breuk*B8/B9,2)</f>
        <v>0</v>
      </c>
      <c r="C75" s="5"/>
      <c r="D75" s="5"/>
      <c r="K75" t="str">
        <f t="shared" ca="1" si="7"/>
        <v/>
      </c>
      <c r="L75" t="s">
        <v>47</v>
      </c>
      <c r="M75" t="s">
        <v>469</v>
      </c>
    </row>
    <row r="76" spans="1:13">
      <c r="A76" s="5"/>
      <c r="B76" s="5"/>
      <c r="C76" s="5"/>
      <c r="D76" s="5"/>
    </row>
    <row r="77" spans="1:13">
      <c r="A77" s="5" t="str">
        <f t="shared" ca="1" si="6"/>
        <v/>
      </c>
      <c r="B77" s="5"/>
      <c r="C77" s="5"/>
      <c r="D77" s="5"/>
      <c r="K77" t="str">
        <f t="shared" ca="1" si="7"/>
        <v/>
      </c>
      <c r="L77" t="s">
        <v>370</v>
      </c>
      <c r="M77" t="s">
        <v>499</v>
      </c>
    </row>
    <row r="78" spans="1:13">
      <c r="A78" s="5" t="str">
        <f t="shared" ca="1" si="6"/>
        <v/>
      </c>
      <c r="B78" s="7">
        <f>SIMUL!D63</f>
        <v>0</v>
      </c>
      <c r="C78" s="5"/>
      <c r="D78" s="5"/>
      <c r="K78" t="str">
        <f t="shared" ca="1" si="7"/>
        <v/>
      </c>
      <c r="L78" t="s">
        <v>47</v>
      </c>
      <c r="M78" t="s">
        <v>469</v>
      </c>
    </row>
    <row r="79" spans="1:13">
      <c r="A79" s="5"/>
      <c r="B79" s="5"/>
      <c r="C79" s="5"/>
      <c r="D79" s="5"/>
    </row>
    <row r="80" spans="1:13">
      <c r="A80" s="5" t="str">
        <f t="shared" ca="1" si="6"/>
        <v/>
      </c>
      <c r="B80" s="13">
        <f>SIMUL!D59</f>
        <v>0</v>
      </c>
      <c r="C80" s="5"/>
      <c r="D80" s="5"/>
      <c r="K80" t="str">
        <f t="shared" ca="1" si="7"/>
        <v/>
      </c>
      <c r="L80" t="s">
        <v>211</v>
      </c>
      <c r="M80" t="s">
        <v>454</v>
      </c>
    </row>
    <row r="81" spans="1:13">
      <c r="A81" s="5" t="str">
        <f t="shared" ca="1" si="6"/>
        <v/>
      </c>
      <c r="B81" s="204">
        <f ca="1">ROUND(B80*index*breuk*B8/B9,2)</f>
        <v>0</v>
      </c>
      <c r="C81" s="5"/>
      <c r="D81" s="5" t="e">
        <f ca="1">B66+B69+B72++B78+B75+B81</f>
        <v>#N/A</v>
      </c>
      <c r="K81" t="str">
        <f t="shared" ca="1" si="7"/>
        <v/>
      </c>
      <c r="L81" t="s">
        <v>47</v>
      </c>
      <c r="M81" t="s">
        <v>469</v>
      </c>
    </row>
    <row r="82" spans="1:13">
      <c r="A82" s="5"/>
      <c r="B82" s="5"/>
      <c r="C82" s="5"/>
      <c r="D82" s="5"/>
    </row>
    <row r="83" spans="1:13">
      <c r="A83" s="5" t="str">
        <f t="shared" ca="1" si="6"/>
        <v/>
      </c>
      <c r="B83" s="204" t="e">
        <f ca="1">ROUND(B46+B52+D52+B66+B69-B55-B61-B63-D63+B72-B36+B75+B81+B78,2)</f>
        <v>#N/A</v>
      </c>
      <c r="C83" s="5"/>
      <c r="D83" s="5"/>
      <c r="K83" t="str">
        <f t="shared" ca="1" si="7"/>
        <v/>
      </c>
      <c r="L83" t="s">
        <v>62</v>
      </c>
      <c r="M83" t="s">
        <v>500</v>
      </c>
    </row>
    <row r="86" spans="1:13">
      <c r="A86" s="11" t="str">
        <f ca="1">K86</f>
        <v/>
      </c>
      <c r="B86" s="12" t="e">
        <f ca="1">IF($B$5&lt;16100.01,720,(IF($B$5&lt;16489.19,((16489.18-$B$5)*0.925)+360,(IF($B$5&lt;18330.01,360,(IF($B$5&lt;18719.19,(18719.18-$B$5)*0.925,0)))))))</f>
        <v>#N/A</v>
      </c>
      <c r="K86" t="str">
        <f t="shared" ca="1" si="7"/>
        <v/>
      </c>
      <c r="L86" t="s">
        <v>69</v>
      </c>
      <c r="M86" t="s">
        <v>501</v>
      </c>
    </row>
    <row r="87" spans="1:13">
      <c r="A87" s="11" t="str">
        <f ca="1">K87</f>
        <v/>
      </c>
      <c r="B87" s="12" t="e">
        <f ca="1">IF($B$5&lt;16100.01,360,(IF($B$5&lt;16294.6,((16294.59-$B$5)*0.925)+180,(IF($B$5&lt;18330.01,180,(IF($B$5&lt;18524.6,(18524.59-$B$5)*0.925,0)))))))</f>
        <v>#N/A</v>
      </c>
      <c r="K87" t="str">
        <f t="shared" ca="1" si="7"/>
        <v/>
      </c>
      <c r="L87" t="s">
        <v>70</v>
      </c>
      <c r="M87" t="s">
        <v>383</v>
      </c>
    </row>
  </sheetData>
  <sheetProtection algorithmName="SHA-512" hashValue="2hSCXTM8xde+iHCVXrLYLiL5Bgua9Uu9z658shXnmu/EefhtQUazmWptOehay+rPE8L1rnGDBaCanjhHkgfbUA==" saltValue="jpL2z1cA6Q0vYy5SM525SA==" spinCount="100000" sheet="1" selectLockedCells="1" autoFilter="0" selectUnlockedCells="1"/>
  <mergeCells count="7">
    <mergeCell ref="E52:G52"/>
    <mergeCell ref="E53:E54"/>
    <mergeCell ref="F53:G53"/>
    <mergeCell ref="AD38:AK38"/>
    <mergeCell ref="AD39:AD40"/>
    <mergeCell ref="AE39:AG39"/>
    <mergeCell ref="AH39:AJ39"/>
  </mergeCells>
  <pageMargins left="0.7" right="0.7" top="0.75" bottom="0.75" header="0.3" footer="0.3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2370-DDAC-415C-8B6A-3770D3653C78}">
  <sheetPr codeName="Blad1"/>
  <dimension ref="A1:Z59"/>
  <sheetViews>
    <sheetView workbookViewId="0">
      <selection activeCell="B15" sqref="B15"/>
    </sheetView>
  </sheetViews>
  <sheetFormatPr defaultRowHeight="14.4"/>
  <cols>
    <col min="1" max="1" width="63" bestFit="1" customWidth="1"/>
    <col min="2" max="2" width="40.44140625" bestFit="1" customWidth="1"/>
    <col min="26" max="26" width="10.5546875" bestFit="1" customWidth="1"/>
  </cols>
  <sheetData>
    <row r="1" spans="1:26">
      <c r="A1" t="s">
        <v>11</v>
      </c>
      <c r="B1" s="3" t="e">
        <f>SIMUL!B66</f>
        <v>#N/A</v>
      </c>
      <c r="M1" t="e">
        <f>VLOOKUP(B1,Gegevenslijsten!A2:B7,2,FALSE)</f>
        <v>#N/A</v>
      </c>
      <c r="Z1" s="4">
        <v>46477</v>
      </c>
    </row>
    <row r="2" spans="1:26">
      <c r="A2" t="s">
        <v>13</v>
      </c>
      <c r="B2" s="3" t="str">
        <f ca="1">SIMUL!B67</f>
        <v/>
      </c>
      <c r="Z2" s="4">
        <f ca="1">TODAY()</f>
        <v>46125</v>
      </c>
    </row>
    <row r="3" spans="1:26">
      <c r="A3" t="e">
        <f>IF(M1&lt;3,"Inkomsten partner:","")</f>
        <v>#N/A</v>
      </c>
      <c r="B3" s="3" t="e">
        <f>IF(M1&gt;2,"",SIMUL!B68)</f>
        <v>#N/A</v>
      </c>
      <c r="C3" t="e">
        <f>IF(M1&lt;3,"",(IF(AND(M1&gt;2,B3=""),"",(IF($N$3="Nederlands","Geen partner dus geen inkomensgegevens aanduiden","Pas de partenaire donc ne pas indiquer de revenus")))))</f>
        <v>#N/A</v>
      </c>
      <c r="H3" t="e">
        <f>IF(C3="",0,1)</f>
        <v>#N/A</v>
      </c>
      <c r="M3" t="e">
        <f>VLOOKUP(B3,Gegevenslijsten!A11:B18,2,FALSE)</f>
        <v>#N/A</v>
      </c>
      <c r="N3">
        <f ca="1">Gegevenslijsten!N3</f>
        <v>0</v>
      </c>
    </row>
    <row r="4" spans="1:26">
      <c r="A4" t="e">
        <f>IF(M1&lt;3,"is uw partner mindervalide?","")</f>
        <v>#N/A</v>
      </c>
      <c r="B4" s="3" t="e">
        <f>IF(M1&gt;2,"",SIMUL!B69)</f>
        <v>#N/A</v>
      </c>
      <c r="C4" t="e">
        <f>IF(M1&lt;3,"",(IF(AND(M1&gt;2,B4=""),"",(IF($N$3="Nederlands","Geen partner dus geen invaliditeitsgegevens aanduiden","Pas de partenaire donc ne pas indiquer d'invalidité")))))</f>
        <v>#N/A</v>
      </c>
      <c r="H4" t="e">
        <f>IF(C4="",0,1)</f>
        <v>#N/A</v>
      </c>
      <c r="M4" t="e">
        <f>VLOOKUP(B4,Gegevenslijsten!D2:E4,2,FALSE)</f>
        <v>#N/A</v>
      </c>
    </row>
    <row r="5" spans="1:26">
      <c r="A5" t="s">
        <v>20</v>
      </c>
      <c r="B5" s="3">
        <f>SIMUL!B70</f>
        <v>0</v>
      </c>
      <c r="H5" t="e">
        <f>H3+H4</f>
        <v>#N/A</v>
      </c>
    </row>
    <row r="6" spans="1:26">
      <c r="A6" t="s">
        <v>21</v>
      </c>
      <c r="B6" s="3">
        <f>SIMUL!B71</f>
        <v>0</v>
      </c>
      <c r="M6" t="str">
        <f>IF(B6&gt;B5,"KAN NIET MEER ZIJN DAN HET TOTAAL AANTAL KINDEREN TEN LASTE","")</f>
        <v/>
      </c>
    </row>
    <row r="7" spans="1:26">
      <c r="A7" t="s">
        <v>22</v>
      </c>
      <c r="B7" s="3">
        <f>SIMUL!B72</f>
        <v>0</v>
      </c>
    </row>
    <row r="8" spans="1:26">
      <c r="A8" t="s">
        <v>24</v>
      </c>
      <c r="B8" s="3">
        <f>IF(OR(SIMUL!B73="ja",SIMUL!B73="oui"),SIMUL!B74,0)</f>
        <v>0</v>
      </c>
      <c r="M8" t="str">
        <f>IF(B8&gt;B7,"KAN NIET MEER ZIJN DAN HET TOTAAL AANTAL KINDEREN TEN LASTE","")</f>
        <v/>
      </c>
    </row>
    <row r="9" spans="1:26">
      <c r="A9" t="s">
        <v>582</v>
      </c>
      <c r="B9" s="3">
        <f>IF(OR(SIMUL!B73="ja",SIMUL!B73="oui"),SIMUL!B75,0)</f>
        <v>0</v>
      </c>
    </row>
    <row r="10" spans="1:26">
      <c r="A10" t="s">
        <v>23</v>
      </c>
      <c r="B10" s="3">
        <f>SIMUL!B76</f>
        <v>0</v>
      </c>
    </row>
    <row r="11" spans="1:26">
      <c r="A11" t="s">
        <v>25</v>
      </c>
      <c r="B11" s="3">
        <f>SIMUL!B77</f>
        <v>0</v>
      </c>
      <c r="M11" t="str">
        <f>IF(B11&gt;B10,"KAN NIET MEER ZIJN DAN HET TOTAAL AANTAL KINDEREN TEN LASTE","")</f>
        <v/>
      </c>
    </row>
    <row r="12" spans="1:26">
      <c r="B12" s="3"/>
    </row>
    <row r="13" spans="1:26">
      <c r="A13" t="s">
        <v>33</v>
      </c>
      <c r="B13" s="3"/>
    </row>
    <row r="14" spans="1:26">
      <c r="A14" t="s">
        <v>34</v>
      </c>
      <c r="B14" s="3">
        <f>SIMUL!B5</f>
        <v>0</v>
      </c>
      <c r="M14" t="e">
        <f ca="1">VLOOKUP(B14,Gegevenslijsten!A22:B23,2,FALSE)</f>
        <v>#N/A</v>
      </c>
      <c r="Z14" s="4"/>
    </row>
    <row r="15" spans="1:26">
      <c r="A15" t="e">
        <f ca="1">IF(M14=1,"Geniet u een werkbonus: bedrag werkbonus","")</f>
        <v>#N/A</v>
      </c>
      <c r="B15" s="3">
        <f>IF( OR(B14="contractueel",B14="contractuel(le)"),Werkbonus!C7,0)</f>
        <v>0</v>
      </c>
      <c r="C15">
        <f>IF(OR(B14="contractueel",B14="contractuel(le)"),Werkbonus!D8,0)</f>
        <v>0</v>
      </c>
      <c r="D15">
        <f>ROUND(B15*0.3314,2)</f>
        <v>0</v>
      </c>
      <c r="E15">
        <f>ROUND(C15*0.5254,2)</f>
        <v>0</v>
      </c>
      <c r="F15">
        <f>D15+E15</f>
        <v>0</v>
      </c>
    </row>
    <row r="16" spans="1:26">
      <c r="B16" s="3"/>
    </row>
    <row r="17" spans="1:13">
      <c r="A17" t="s">
        <v>0</v>
      </c>
      <c r="B17" s="3" t="e">
        <f ca="1">'SIMUL SSGPI'!B46</f>
        <v>#N/A</v>
      </c>
    </row>
    <row r="18" spans="1:13">
      <c r="A18" t="s">
        <v>2</v>
      </c>
      <c r="B18" t="e">
        <f ca="1">B17*12</f>
        <v>#N/A</v>
      </c>
    </row>
    <row r="19" spans="1:13">
      <c r="A19" t="s">
        <v>3</v>
      </c>
      <c r="B19" s="427" t="e">
        <f ca="1">ROUND(IF(B18&gt;20233.33,6070,B18*0.3),2)</f>
        <v>#N/A</v>
      </c>
    </row>
    <row r="20" spans="1:13">
      <c r="C20" s="427" t="e">
        <f ca="1">ROUND(IF(B21&gt;45966.67,13790,B21*0.3),2)</f>
        <v>#N/A</v>
      </c>
    </row>
    <row r="21" spans="1:13">
      <c r="A21" t="s">
        <v>35</v>
      </c>
      <c r="B21" t="e">
        <f ca="1">B18-B19</f>
        <v>#N/A</v>
      </c>
      <c r="C21" t="e">
        <f ca="1">B21-C20</f>
        <v>#N/A</v>
      </c>
    </row>
    <row r="23" spans="1:13">
      <c r="A23" t="s">
        <v>1</v>
      </c>
      <c r="D23" t="s">
        <v>8</v>
      </c>
    </row>
    <row r="24" spans="1:13">
      <c r="A24" s="427" t="s">
        <v>673</v>
      </c>
      <c r="B24" s="1">
        <v>0.26750000000000002</v>
      </c>
      <c r="C24" s="427" t="e">
        <f ca="1">ROUND(IF(B21&gt;16710,16710*B24,B21*B24),2)</f>
        <v>#N/A</v>
      </c>
      <c r="D24" s="427" t="e">
        <f ca="1">ROUND(IF(C21&gt;16710,16710*B24,C21*B24)+(C20*B24),2)</f>
        <v>#N/A</v>
      </c>
    </row>
    <row r="25" spans="1:13">
      <c r="A25" s="427" t="s">
        <v>674</v>
      </c>
      <c r="B25" s="1">
        <v>0.42799999999999999</v>
      </c>
      <c r="C25" s="427" t="e">
        <f ca="1">ROUND(IF(B21&lt;16710.01,0,(IF(B21&gt;29500,(29500-16710)*B25,(B21-16710)*B25))),2)</f>
        <v>#N/A</v>
      </c>
      <c r="D25" s="427" t="e">
        <f ca="1">ROUND(IF(C21&lt;16710.01,0,(IF(C21&gt;29500,(29500-16710)*B25,(C21-16710)*B25))),2)</f>
        <v>#N/A</v>
      </c>
    </row>
    <row r="26" spans="1:13">
      <c r="A26" s="427" t="s">
        <v>675</v>
      </c>
      <c r="B26" s="1">
        <v>0.48149999999999998</v>
      </c>
      <c r="C26" s="427" t="e">
        <f ca="1">ROUND(IF(B21&lt;29500.01,0,(IF(B21&gt;51050,(51050-29500)*B26,(B21-29500)*B26))),2)</f>
        <v>#N/A</v>
      </c>
      <c r="D26" s="427" t="e">
        <f ca="1">ROUND(IF(C21&lt;29500.01,0,(IF(C21&gt;51050,(51050-29500)*B26,(C21-29500)*B26))),2)</f>
        <v>#N/A</v>
      </c>
    </row>
    <row r="27" spans="1:13">
      <c r="A27" s="427" t="s">
        <v>676</v>
      </c>
      <c r="B27" s="1">
        <v>0.53500000000000003</v>
      </c>
      <c r="C27" s="427" t="e">
        <f ca="1">ROUND(IF(B21&lt;51050.01,0,(B21-51050)*B27),2)</f>
        <v>#N/A</v>
      </c>
      <c r="D27" s="427" t="e">
        <f ca="1">ROUND(IF(C21&lt;51050.01,0,(C21-51050)*B27),2)</f>
        <v>#N/A</v>
      </c>
    </row>
    <row r="28" spans="1:13">
      <c r="A28" t="s">
        <v>4</v>
      </c>
      <c r="C28" t="e">
        <f ca="1">SUM(C24:C27)</f>
        <v>#N/A</v>
      </c>
      <c r="D28" t="e">
        <f ca="1">SUM(D24:D27)</f>
        <v>#N/A</v>
      </c>
      <c r="L28" t="s">
        <v>9</v>
      </c>
    </row>
    <row r="29" spans="1:13">
      <c r="L29">
        <v>0</v>
      </c>
      <c r="M29" s="427">
        <v>0</v>
      </c>
    </row>
    <row r="30" spans="1:13">
      <c r="A30" t="s">
        <v>5</v>
      </c>
      <c r="L30">
        <v>1</v>
      </c>
      <c r="M30" s="427">
        <v>624</v>
      </c>
    </row>
    <row r="31" spans="1:13">
      <c r="A31" t="s">
        <v>7</v>
      </c>
      <c r="B31" s="428">
        <v>2987.98</v>
      </c>
      <c r="C31" t="e">
        <f>IF(M3=1,0,B31)</f>
        <v>#N/A</v>
      </c>
      <c r="L31">
        <v>2</v>
      </c>
      <c r="M31" s="427">
        <v>1656</v>
      </c>
    </row>
    <row r="32" spans="1:13">
      <c r="A32" s="427" t="s">
        <v>677</v>
      </c>
      <c r="B32" s="428">
        <v>5975.96</v>
      </c>
      <c r="C32" t="e">
        <f>IF(M3=1,B32,0)</f>
        <v>#N/A</v>
      </c>
      <c r="L32">
        <v>3</v>
      </c>
      <c r="M32" s="427">
        <v>4404</v>
      </c>
    </row>
    <row r="33" spans="1:13">
      <c r="A33" s="427" t="s">
        <v>678</v>
      </c>
      <c r="B33" s="428">
        <v>3474</v>
      </c>
      <c r="C33" t="e">
        <f>IF(M3=3,B33,0)</f>
        <v>#N/A</v>
      </c>
      <c r="L33">
        <v>4</v>
      </c>
      <c r="M33" s="427">
        <v>7620</v>
      </c>
    </row>
    <row r="34" spans="1:13">
      <c r="A34" s="427" t="s">
        <v>679</v>
      </c>
      <c r="B34" s="427">
        <v>1740</v>
      </c>
      <c r="C34" t="e">
        <f>IF(M3=2,B34,0)</f>
        <v>#N/A</v>
      </c>
      <c r="L34">
        <v>5</v>
      </c>
      <c r="M34" s="427">
        <v>11100</v>
      </c>
    </row>
    <row r="35" spans="1:13">
      <c r="A35" t="s">
        <v>10</v>
      </c>
      <c r="B35">
        <f>B5+B6</f>
        <v>0</v>
      </c>
      <c r="C35">
        <f>VLOOKUP(B35,L29:M38,2,TRUE)</f>
        <v>0</v>
      </c>
      <c r="L35">
        <v>6</v>
      </c>
      <c r="M35" s="427">
        <v>14592</v>
      </c>
    </row>
    <row r="36" spans="1:13">
      <c r="A36" t="s">
        <v>6</v>
      </c>
      <c r="B36" s="272">
        <v>0</v>
      </c>
      <c r="C36" t="e">
        <f>IF(M1&gt;2,B36,0)</f>
        <v>#N/A</v>
      </c>
      <c r="L36">
        <v>7</v>
      </c>
      <c r="M36" s="427">
        <v>18120</v>
      </c>
    </row>
    <row r="37" spans="1:13">
      <c r="A37" t="s">
        <v>16</v>
      </c>
      <c r="B37" s="427">
        <v>624</v>
      </c>
      <c r="C37" t="e">
        <f>IF(M1&lt;3,0,(IF(B35&gt;0,B37,0)))</f>
        <v>#N/A</v>
      </c>
      <c r="L37">
        <v>8</v>
      </c>
      <c r="M37" s="427">
        <v>21996</v>
      </c>
    </row>
    <row r="38" spans="1:13">
      <c r="A38" t="s">
        <v>17</v>
      </c>
      <c r="B38" s="427">
        <v>624</v>
      </c>
      <c r="C38">
        <f ca="1">IF(OR(B2="ja",B2="oui"),B38,0)</f>
        <v>0</v>
      </c>
      <c r="L38">
        <v>9</v>
      </c>
      <c r="M38" s="427">
        <f>IF(B35&gt;8,M37+(B35-8)*3864,0)</f>
        <v>0</v>
      </c>
    </row>
    <row r="39" spans="1:13">
      <c r="A39" t="s">
        <v>18</v>
      </c>
      <c r="B39" s="428">
        <v>624</v>
      </c>
      <c r="C39" t="e">
        <f>IF(M3&gt;1,0,(IF(M4=1,B39,0)))</f>
        <v>#N/A</v>
      </c>
    </row>
    <row r="40" spans="1:13">
      <c r="A40" t="s">
        <v>671</v>
      </c>
      <c r="B40">
        <f>IF((B7-B8-B9)&lt;0,"kan niet",B7-B8-B9)</f>
        <v>0</v>
      </c>
      <c r="C40">
        <f>B40*K40</f>
        <v>0</v>
      </c>
      <c r="K40" s="427">
        <v>1992</v>
      </c>
    </row>
    <row r="41" spans="1:13">
      <c r="B41">
        <f>B8</f>
        <v>0</v>
      </c>
      <c r="C41">
        <f>B41*K41</f>
        <v>0</v>
      </c>
    </row>
    <row r="42" spans="1:13">
      <c r="B42">
        <f>B9</f>
        <v>0</v>
      </c>
      <c r="C42">
        <f>B42*K42</f>
        <v>0</v>
      </c>
    </row>
    <row r="43" spans="1:13">
      <c r="A43" t="s">
        <v>26</v>
      </c>
      <c r="B43">
        <f>B10+B11</f>
        <v>0</v>
      </c>
      <c r="C43">
        <f>B43*K43</f>
        <v>0</v>
      </c>
      <c r="K43" s="427">
        <v>624</v>
      </c>
    </row>
    <row r="44" spans="1:13">
      <c r="A44" t="s">
        <v>31</v>
      </c>
      <c r="B44" s="427" t="e">
        <f ca="1">IF(AND(B17&lt;2722.91,B17&gt;742.26),(7.5*12),0)</f>
        <v>#N/A</v>
      </c>
      <c r="C44" t="e">
        <f ca="1">IF(M14=2,B44,0)</f>
        <v>#N/A</v>
      </c>
    </row>
    <row r="45" spans="1:13">
      <c r="A45" t="s">
        <v>32</v>
      </c>
      <c r="B45" s="427" t="e">
        <f ca="1">ROUND(IF(M14=1,((B15*0.3314)+(C15*0.5254)),0),2)</f>
        <v>#N/A</v>
      </c>
      <c r="C45" t="e">
        <f ca="1">B45</f>
        <v>#N/A</v>
      </c>
    </row>
    <row r="46" spans="1:13">
      <c r="A46" t="s">
        <v>27</v>
      </c>
      <c r="C46" t="e">
        <f>SUM(C31:C44)</f>
        <v>#N/A</v>
      </c>
    </row>
    <row r="48" spans="1:13">
      <c r="A48" t="s">
        <v>4</v>
      </c>
      <c r="C48" t="e">
        <f>IF(M3=1,D28,C28)</f>
        <v>#N/A</v>
      </c>
    </row>
    <row r="49" spans="1:5">
      <c r="A49" t="s">
        <v>28</v>
      </c>
      <c r="C49" t="e">
        <f>C46</f>
        <v>#N/A</v>
      </c>
    </row>
    <row r="50" spans="1:5">
      <c r="A50" t="s">
        <v>29</v>
      </c>
      <c r="C50" t="e">
        <f>IF((C48-C49)&lt;0,0,(C48-C49))</f>
        <v>#N/A</v>
      </c>
    </row>
    <row r="51" spans="1:5">
      <c r="A51" t="s">
        <v>30</v>
      </c>
      <c r="C51" t="e">
        <f>IF(H5&gt;0,"error",(ROUND(C50/12,2)))</f>
        <v>#N/A</v>
      </c>
    </row>
    <row r="52" spans="1:5">
      <c r="A52" t="s">
        <v>36</v>
      </c>
      <c r="C52" t="e">
        <f ca="1">B45</f>
        <v>#N/A</v>
      </c>
    </row>
    <row r="56" spans="1:5">
      <c r="C56" s="9"/>
      <c r="D56" s="9"/>
      <c r="E56" s="9"/>
    </row>
    <row r="57" spans="1:5">
      <c r="C57" s="9"/>
      <c r="D57" s="9"/>
      <c r="E57" s="9"/>
    </row>
    <row r="58" spans="1:5">
      <c r="C58" s="9"/>
      <c r="D58" s="9"/>
      <c r="E58" s="9"/>
    </row>
    <row r="59" spans="1:5">
      <c r="C59" s="9"/>
      <c r="D59" s="9"/>
      <c r="E59" s="9"/>
    </row>
  </sheetData>
  <sheetProtection algorithmName="SHA-512" hashValue="iXLMbdzIfK42Y8BAmidkBr+DDVt1vXcVu3qCfKEgX4uhzGB2VldsjMNrFf+iu8hVqsfzYX+r9AKgPw9tKNZG5A==" saltValue="PwD/bRT0S+nZg2IU61UnQ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9249-4D1F-4EDB-8269-EDF5E265D6A6}">
  <sheetPr codeName="Blad2"/>
  <dimension ref="A1:T170"/>
  <sheetViews>
    <sheetView topLeftCell="A85" workbookViewId="0">
      <selection activeCell="B15" sqref="B15"/>
    </sheetView>
  </sheetViews>
  <sheetFormatPr defaultRowHeight="14.4"/>
  <cols>
    <col min="1" max="1" width="76" bestFit="1" customWidth="1"/>
    <col min="6" max="6" width="11.33203125" customWidth="1"/>
    <col min="8" max="8" width="31" customWidth="1"/>
    <col min="12" max="12" width="10.5546875" bestFit="1" customWidth="1"/>
    <col min="14" max="14" width="75.6640625" bestFit="1" customWidth="1"/>
  </cols>
  <sheetData>
    <row r="1" spans="1:17">
      <c r="A1" t="s">
        <v>12</v>
      </c>
      <c r="D1" t="s">
        <v>309</v>
      </c>
      <c r="H1" t="s">
        <v>9</v>
      </c>
      <c r="L1" s="4">
        <v>36983</v>
      </c>
      <c r="N1" t="s">
        <v>381</v>
      </c>
    </row>
    <row r="2" spans="1:17">
      <c r="A2" t="str">
        <f t="shared" ref="A2:A7" ca="1" si="0">O2</f>
        <v/>
      </c>
      <c r="B2">
        <v>1</v>
      </c>
      <c r="D2" s="2" t="s">
        <v>19</v>
      </c>
      <c r="E2">
        <v>2</v>
      </c>
      <c r="H2">
        <v>0</v>
      </c>
      <c r="N2" t="s">
        <v>382</v>
      </c>
      <c r="O2" t="str">
        <f t="shared" ref="O2:O7" ca="1" si="1">IF($N$3="Nederlands",P2,(IF($N$3="Français",Q2,"")))</f>
        <v/>
      </c>
      <c r="P2" t="s">
        <v>303</v>
      </c>
      <c r="Q2" t="s">
        <v>405</v>
      </c>
    </row>
    <row r="3" spans="1:17">
      <c r="A3" t="str">
        <f t="shared" ca="1" si="0"/>
        <v/>
      </c>
      <c r="B3">
        <v>2</v>
      </c>
      <c r="D3" t="str">
        <f ca="1">IF($N$3="","",(IF($N$3="Nederlands","Ja",(IF($N$3="Français","Oui","")))))</f>
        <v/>
      </c>
      <c r="E3">
        <v>1</v>
      </c>
      <c r="H3">
        <v>1</v>
      </c>
      <c r="N3">
        <f ca="1">SIMUL!EZ1</f>
        <v>0</v>
      </c>
      <c r="O3" t="str">
        <f t="shared" ca="1" si="1"/>
        <v/>
      </c>
      <c r="P3" t="s">
        <v>304</v>
      </c>
      <c r="Q3" t="s">
        <v>406</v>
      </c>
    </row>
    <row r="4" spans="1:17">
      <c r="A4" t="str">
        <f t="shared" ca="1" si="0"/>
        <v/>
      </c>
      <c r="B4">
        <v>3</v>
      </c>
      <c r="D4" t="str">
        <f ca="1">IF($N$3="","",(IF($N$3="Nederlands","Neen",(IF($N$3="Français","Non","")))))</f>
        <v/>
      </c>
      <c r="E4">
        <v>2</v>
      </c>
      <c r="H4">
        <v>2</v>
      </c>
      <c r="L4" s="4">
        <f ca="1">IF(TODAY()&gt;BV!Z1,0,(DATE(YEAR(TODAY()),MONTH(TODAY()),1)))</f>
        <v>46113</v>
      </c>
      <c r="N4">
        <f>'Pre-programmed simulation'!$B$1</f>
        <v>0</v>
      </c>
      <c r="O4" t="str">
        <f t="shared" ca="1" si="1"/>
        <v/>
      </c>
      <c r="P4" t="s">
        <v>305</v>
      </c>
      <c r="Q4" t="s">
        <v>539</v>
      </c>
    </row>
    <row r="5" spans="1:17">
      <c r="A5" t="str">
        <f t="shared" ca="1" si="0"/>
        <v/>
      </c>
      <c r="B5">
        <v>4</v>
      </c>
      <c r="H5">
        <v>3</v>
      </c>
      <c r="L5" s="4">
        <f ca="1">DATE(YEAR(L4),(MONTH(L4)+1),1)</f>
        <v>46143</v>
      </c>
      <c r="O5" t="str">
        <f t="shared" ca="1" si="1"/>
        <v/>
      </c>
      <c r="P5" t="s">
        <v>306</v>
      </c>
      <c r="Q5" t="s">
        <v>408</v>
      </c>
    </row>
    <row r="6" spans="1:17">
      <c r="A6" t="str">
        <f t="shared" ca="1" si="0"/>
        <v/>
      </c>
      <c r="B6">
        <v>5</v>
      </c>
      <c r="H6">
        <v>4</v>
      </c>
      <c r="L6" s="4">
        <f ca="1">DATE(YEAR(L5),(MONTH(L5)+1),1)</f>
        <v>46174</v>
      </c>
      <c r="O6" t="str">
        <f t="shared" ca="1" si="1"/>
        <v/>
      </c>
      <c r="P6" t="s">
        <v>307</v>
      </c>
      <c r="Q6" t="s">
        <v>538</v>
      </c>
    </row>
    <row r="7" spans="1:17">
      <c r="A7" t="str">
        <f t="shared" ca="1" si="0"/>
        <v/>
      </c>
      <c r="B7">
        <v>6</v>
      </c>
      <c r="H7">
        <v>5</v>
      </c>
      <c r="L7" s="4">
        <f ca="1">DATE(YEAR(L6),(MONTH(L6)+1),1)</f>
        <v>46204</v>
      </c>
      <c r="O7" t="str">
        <f t="shared" ca="1" si="1"/>
        <v/>
      </c>
      <c r="P7" t="s">
        <v>308</v>
      </c>
      <c r="Q7" t="s">
        <v>409</v>
      </c>
    </row>
    <row r="8" spans="1:17">
      <c r="H8">
        <v>6</v>
      </c>
      <c r="L8" s="4"/>
    </row>
    <row r="9" spans="1:17">
      <c r="H9">
        <v>7</v>
      </c>
    </row>
    <row r="10" spans="1:17">
      <c r="A10" t="str">
        <f ca="1">O10</f>
        <v/>
      </c>
      <c r="H10">
        <v>8</v>
      </c>
      <c r="O10" t="str">
        <f ca="1">IF($N$3="Nederlands",P10,(IF($N$3="Français",Q10,"")))</f>
        <v/>
      </c>
      <c r="P10" t="s">
        <v>14</v>
      </c>
      <c r="Q10" t="s">
        <v>410</v>
      </c>
    </row>
    <row r="11" spans="1:17">
      <c r="A11" s="2" t="s">
        <v>19</v>
      </c>
      <c r="B11">
        <v>0</v>
      </c>
      <c r="H11">
        <v>9</v>
      </c>
      <c r="P11" t="s">
        <v>19</v>
      </c>
    </row>
    <row r="12" spans="1:17">
      <c r="A12" t="str">
        <f ca="1">O12</f>
        <v/>
      </c>
      <c r="B12">
        <v>1</v>
      </c>
      <c r="H12">
        <v>10</v>
      </c>
      <c r="O12" t="str">
        <f t="shared" ref="O12:O18" ca="1" si="2">IF($N$3="Nederlands",P12,(IF($N$3="Français",Q12,"")))</f>
        <v/>
      </c>
      <c r="P12" t="s">
        <v>15</v>
      </c>
      <c r="Q12" t="s">
        <v>411</v>
      </c>
    </row>
    <row r="13" spans="1:17">
      <c r="A13" t="str">
        <f t="shared" ref="A13:A18" ca="1" si="3">O13</f>
        <v/>
      </c>
      <c r="B13">
        <v>2</v>
      </c>
      <c r="H13">
        <v>11</v>
      </c>
      <c r="O13" t="str">
        <f t="shared" ca="1" si="2"/>
        <v/>
      </c>
      <c r="P13" t="s">
        <v>543</v>
      </c>
      <c r="Q13" t="s">
        <v>548</v>
      </c>
    </row>
    <row r="14" spans="1:17">
      <c r="A14" t="str">
        <f t="shared" ca="1" si="3"/>
        <v/>
      </c>
      <c r="B14">
        <v>4</v>
      </c>
      <c r="H14">
        <v>12</v>
      </c>
      <c r="O14" t="str">
        <f t="shared" ca="1" si="2"/>
        <v/>
      </c>
      <c r="P14" t="s">
        <v>544</v>
      </c>
      <c r="Q14" t="s">
        <v>549</v>
      </c>
    </row>
    <row r="15" spans="1:17">
      <c r="A15" t="str">
        <f t="shared" ca="1" si="3"/>
        <v/>
      </c>
      <c r="B15">
        <v>1</v>
      </c>
      <c r="H15">
        <v>13</v>
      </c>
      <c r="O15" t="str">
        <f t="shared" ca="1" si="2"/>
        <v/>
      </c>
      <c r="P15" t="s">
        <v>545</v>
      </c>
      <c r="Q15" t="s">
        <v>550</v>
      </c>
    </row>
    <row r="16" spans="1:17">
      <c r="A16" t="str">
        <f t="shared" ca="1" si="3"/>
        <v/>
      </c>
      <c r="B16">
        <v>3</v>
      </c>
      <c r="H16">
        <v>14</v>
      </c>
      <c r="O16" t="str">
        <f t="shared" ca="1" si="2"/>
        <v/>
      </c>
      <c r="P16" t="s">
        <v>546</v>
      </c>
      <c r="Q16" t="s">
        <v>551</v>
      </c>
    </row>
    <row r="17" spans="1:17">
      <c r="A17" t="str">
        <f t="shared" ca="1" si="3"/>
        <v/>
      </c>
      <c r="B17">
        <v>4</v>
      </c>
      <c r="H17">
        <v>15</v>
      </c>
      <c r="O17" t="str">
        <f t="shared" ca="1" si="2"/>
        <v/>
      </c>
      <c r="P17" t="s">
        <v>547</v>
      </c>
      <c r="Q17" t="s">
        <v>552</v>
      </c>
    </row>
    <row r="18" spans="1:17">
      <c r="A18" t="str">
        <f t="shared" ca="1" si="3"/>
        <v/>
      </c>
      <c r="B18">
        <v>4</v>
      </c>
      <c r="H18">
        <v>16</v>
      </c>
      <c r="O18" t="str">
        <f t="shared" ca="1" si="2"/>
        <v/>
      </c>
      <c r="P18" t="s">
        <v>555</v>
      </c>
      <c r="Q18" t="s">
        <v>554</v>
      </c>
    </row>
    <row r="19" spans="1:17">
      <c r="H19">
        <v>17</v>
      </c>
    </row>
    <row r="20" spans="1:17">
      <c r="H20">
        <v>18</v>
      </c>
    </row>
    <row r="21" spans="1:17">
      <c r="A21" t="s">
        <v>310</v>
      </c>
      <c r="H21">
        <v>19</v>
      </c>
    </row>
    <row r="22" spans="1:17">
      <c r="A22" t="str">
        <f ca="1">IF($N$3="","",(IF($N$3="Nederlands","Contractueel",(IF($N$3="Français","Contractuel(le)","")))))</f>
        <v/>
      </c>
      <c r="B22">
        <v>1</v>
      </c>
      <c r="H22">
        <v>20</v>
      </c>
    </row>
    <row r="23" spans="1:17">
      <c r="A23" t="str">
        <f ca="1">IF($N$3="","",(IF($N$3="Nederlands","Statutair",(IF($N$3="Français","Statutaire","")))))</f>
        <v/>
      </c>
      <c r="B23">
        <v>2</v>
      </c>
      <c r="H23">
        <v>21</v>
      </c>
    </row>
    <row r="24" spans="1:17">
      <c r="H24">
        <v>22</v>
      </c>
    </row>
    <row r="25" spans="1:17">
      <c r="A25" t="s">
        <v>311</v>
      </c>
      <c r="H25">
        <v>23</v>
      </c>
    </row>
    <row r="26" spans="1:17">
      <c r="A26" t="str">
        <f ca="1">IF($N$3="","",(IF($N$3="Nederlands","Haardtoelage",(IF($N$3="Français","Allocation de foyer","")))))</f>
        <v/>
      </c>
      <c r="H26">
        <v>24</v>
      </c>
      <c r="N26" t="str">
        <f ca="1">IF($N$3="Nederlands",O26,(IF($N$3="Français",P26,"")))</f>
        <v/>
      </c>
      <c r="O26" t="s">
        <v>403</v>
      </c>
      <c r="P26" t="s">
        <v>404</v>
      </c>
    </row>
    <row r="27" spans="1:17">
      <c r="A27" t="str">
        <f ca="1">IF($N$3="","",(IF($N$3="Nederlands","Standplaatstoelage",(IF($N$3="Français","Allocation de résidence","")))))</f>
        <v/>
      </c>
      <c r="H27">
        <v>25</v>
      </c>
    </row>
    <row r="28" spans="1:17">
      <c r="H28">
        <v>26</v>
      </c>
    </row>
    <row r="29" spans="1:17">
      <c r="H29">
        <v>27</v>
      </c>
    </row>
    <row r="30" spans="1:17">
      <c r="H30">
        <v>28</v>
      </c>
    </row>
    <row r="31" spans="1:17">
      <c r="H31">
        <v>29</v>
      </c>
    </row>
    <row r="32" spans="1:17">
      <c r="H32">
        <v>30</v>
      </c>
    </row>
    <row r="35" spans="1:20">
      <c r="A35" s="72" t="str">
        <f ca="1">R35</f>
        <v/>
      </c>
      <c r="B35">
        <f>74.37*12</f>
        <v>892.44</v>
      </c>
      <c r="C35">
        <f t="shared" ref="C35:K35" si="4">B35</f>
        <v>892.44</v>
      </c>
      <c r="D35">
        <f t="shared" si="4"/>
        <v>892.44</v>
      </c>
      <c r="E35">
        <f t="shared" si="4"/>
        <v>892.44</v>
      </c>
      <c r="F35">
        <f t="shared" si="4"/>
        <v>892.44</v>
      </c>
      <c r="G35">
        <f t="shared" si="4"/>
        <v>892.44</v>
      </c>
      <c r="H35">
        <f t="shared" si="4"/>
        <v>892.44</v>
      </c>
      <c r="I35">
        <f t="shared" si="4"/>
        <v>892.44</v>
      </c>
      <c r="J35">
        <f t="shared" si="4"/>
        <v>892.44</v>
      </c>
      <c r="K35">
        <f t="shared" si="4"/>
        <v>892.44</v>
      </c>
      <c r="N35">
        <f>SIMUL!B19</f>
        <v>0</v>
      </c>
      <c r="O35">
        <f>VLOOKUP(N35,N36:O54,2,FALSE)</f>
        <v>0</v>
      </c>
      <c r="R35" t="str">
        <f ca="1">IF($N$3="Nederlands",S35,(IF($N$3="Français",T35,"")))</f>
        <v/>
      </c>
      <c r="S35" t="s">
        <v>184</v>
      </c>
      <c r="T35" t="s">
        <v>412</v>
      </c>
    </row>
    <row r="36" spans="1:20">
      <c r="A36" s="72" t="str">
        <f t="shared" ref="A36:A59" ca="1" si="5">R36</f>
        <v/>
      </c>
      <c r="B36">
        <v>1</v>
      </c>
      <c r="C36">
        <v>2</v>
      </c>
      <c r="D36">
        <v>3</v>
      </c>
      <c r="E36">
        <v>4</v>
      </c>
      <c r="F36">
        <v>5</v>
      </c>
      <c r="G36">
        <v>7</v>
      </c>
      <c r="H36">
        <v>8</v>
      </c>
      <c r="I36">
        <v>9</v>
      </c>
      <c r="J36">
        <v>9.8000000000000007</v>
      </c>
      <c r="K36">
        <v>10</v>
      </c>
      <c r="N36">
        <v>0</v>
      </c>
      <c r="O36">
        <v>0</v>
      </c>
      <c r="R36" t="str">
        <f t="shared" ref="R36:R59" ca="1" si="6">IF($N$3="Nederlands",S36,(IF($N$3="Français",T36,"")))</f>
        <v/>
      </c>
      <c r="S36" t="s">
        <v>183</v>
      </c>
      <c r="T36" t="s">
        <v>413</v>
      </c>
    </row>
    <row r="37" spans="1:20">
      <c r="A37" s="72" t="str">
        <f t="shared" ca="1" si="5"/>
        <v/>
      </c>
      <c r="C37">
        <v>4462.09</v>
      </c>
      <c r="D37">
        <f>C37</f>
        <v>4462.09</v>
      </c>
      <c r="E37">
        <f t="shared" ref="E37:K37" si="7">D37</f>
        <v>4462.09</v>
      </c>
      <c r="F37">
        <f t="shared" si="7"/>
        <v>4462.09</v>
      </c>
      <c r="G37">
        <f t="shared" si="7"/>
        <v>4462.09</v>
      </c>
      <c r="H37">
        <f t="shared" si="7"/>
        <v>4462.09</v>
      </c>
      <c r="I37">
        <f t="shared" si="7"/>
        <v>4462.09</v>
      </c>
      <c r="J37">
        <f t="shared" si="7"/>
        <v>4462.09</v>
      </c>
      <c r="K37">
        <f t="shared" si="7"/>
        <v>4462.09</v>
      </c>
      <c r="N37" s="72" t="str">
        <f ca="1">R37</f>
        <v/>
      </c>
      <c r="O37">
        <v>1</v>
      </c>
      <c r="R37" t="str">
        <f t="shared" ca="1" si="6"/>
        <v/>
      </c>
      <c r="S37" t="s">
        <v>192</v>
      </c>
      <c r="T37" s="72" t="s">
        <v>414</v>
      </c>
    </row>
    <row r="38" spans="1:20">
      <c r="A38" s="72" t="str">
        <f t="shared" ca="1" si="5"/>
        <v/>
      </c>
      <c r="C38">
        <v>4462.09</v>
      </c>
      <c r="D38">
        <f t="shared" ref="D38:K40" si="8">C38</f>
        <v>4462.09</v>
      </c>
      <c r="E38">
        <f t="shared" si="8"/>
        <v>4462.09</v>
      </c>
      <c r="F38">
        <f t="shared" si="8"/>
        <v>4462.09</v>
      </c>
      <c r="G38">
        <f t="shared" si="8"/>
        <v>4462.09</v>
      </c>
      <c r="H38">
        <f t="shared" si="8"/>
        <v>4462.09</v>
      </c>
      <c r="I38">
        <f t="shared" si="8"/>
        <v>4462.09</v>
      </c>
      <c r="J38">
        <f t="shared" si="8"/>
        <v>4462.09</v>
      </c>
      <c r="K38">
        <f t="shared" si="8"/>
        <v>4462.09</v>
      </c>
      <c r="N38" s="72" t="str">
        <f t="shared" ref="N38:N54" ca="1" si="9">R38</f>
        <v/>
      </c>
      <c r="O38">
        <v>1</v>
      </c>
      <c r="R38" t="str">
        <f t="shared" ca="1" si="6"/>
        <v/>
      </c>
      <c r="S38" t="s">
        <v>191</v>
      </c>
      <c r="T38" s="72" t="s">
        <v>415</v>
      </c>
    </row>
    <row r="39" spans="1:20">
      <c r="A39" s="72" t="str">
        <f t="shared" ca="1" si="5"/>
        <v/>
      </c>
      <c r="C39">
        <v>7473.99</v>
      </c>
      <c r="D39">
        <f t="shared" si="8"/>
        <v>7473.99</v>
      </c>
      <c r="E39">
        <f t="shared" si="8"/>
        <v>7473.99</v>
      </c>
      <c r="F39">
        <f t="shared" si="8"/>
        <v>7473.99</v>
      </c>
      <c r="G39">
        <f t="shared" si="8"/>
        <v>7473.99</v>
      </c>
      <c r="H39">
        <f t="shared" si="8"/>
        <v>7473.99</v>
      </c>
      <c r="I39">
        <f t="shared" si="8"/>
        <v>7473.99</v>
      </c>
      <c r="J39">
        <f t="shared" si="8"/>
        <v>7473.99</v>
      </c>
      <c r="K39">
        <f t="shared" si="8"/>
        <v>7473.99</v>
      </c>
      <c r="N39" s="72" t="str">
        <f t="shared" ca="1" si="9"/>
        <v/>
      </c>
      <c r="O39">
        <v>1</v>
      </c>
      <c r="R39" t="str">
        <f t="shared" ca="1" si="6"/>
        <v/>
      </c>
      <c r="S39" t="s">
        <v>185</v>
      </c>
      <c r="T39" s="72" t="s">
        <v>416</v>
      </c>
    </row>
    <row r="40" spans="1:20">
      <c r="A40" s="72" t="str">
        <f t="shared" ca="1" si="5"/>
        <v/>
      </c>
      <c r="C40">
        <v>12766.52</v>
      </c>
      <c r="D40">
        <f t="shared" si="8"/>
        <v>12766.52</v>
      </c>
      <c r="E40">
        <f t="shared" si="8"/>
        <v>12766.52</v>
      </c>
      <c r="F40">
        <f t="shared" si="8"/>
        <v>12766.52</v>
      </c>
      <c r="G40">
        <f t="shared" si="8"/>
        <v>12766.52</v>
      </c>
      <c r="H40">
        <f t="shared" si="8"/>
        <v>12766.52</v>
      </c>
      <c r="I40">
        <f t="shared" si="8"/>
        <v>12766.52</v>
      </c>
      <c r="J40">
        <f t="shared" si="8"/>
        <v>12766.52</v>
      </c>
      <c r="K40">
        <f t="shared" si="8"/>
        <v>12766.52</v>
      </c>
      <c r="N40" s="72" t="str">
        <f t="shared" ca="1" si="9"/>
        <v/>
      </c>
      <c r="O40">
        <v>1</v>
      </c>
      <c r="R40" t="str">
        <f t="shared" ca="1" si="6"/>
        <v/>
      </c>
      <c r="S40" t="s">
        <v>186</v>
      </c>
      <c r="T40" s="72" t="s">
        <v>417</v>
      </c>
    </row>
    <row r="41" spans="1:20">
      <c r="A41" s="72" t="str">
        <f t="shared" ca="1" si="5"/>
        <v/>
      </c>
      <c r="C41">
        <v>6391.39</v>
      </c>
      <c r="D41">
        <v>6402.38</v>
      </c>
      <c r="E41">
        <v>6863.11</v>
      </c>
      <c r="F41">
        <v>6863.11</v>
      </c>
      <c r="N41" s="72" t="str">
        <f t="shared" ca="1" si="9"/>
        <v/>
      </c>
      <c r="O41">
        <v>3</v>
      </c>
      <c r="R41" t="str">
        <f t="shared" ca="1" si="6"/>
        <v/>
      </c>
      <c r="S41" t="s">
        <v>187</v>
      </c>
      <c r="T41" t="s">
        <v>418</v>
      </c>
    </row>
    <row r="42" spans="1:20">
      <c r="A42" s="72" t="str">
        <f t="shared" ca="1" si="5"/>
        <v/>
      </c>
      <c r="C42">
        <v>3913.5</v>
      </c>
      <c r="D42">
        <v>3924.41</v>
      </c>
      <c r="E42">
        <v>4171.46</v>
      </c>
      <c r="F42">
        <v>4171.46</v>
      </c>
      <c r="N42" s="72" t="str">
        <f t="shared" ca="1" si="9"/>
        <v/>
      </c>
      <c r="O42">
        <v>2</v>
      </c>
      <c r="R42" t="str">
        <f t="shared" ca="1" si="6"/>
        <v/>
      </c>
      <c r="S42" t="s">
        <v>312</v>
      </c>
      <c r="T42" t="s">
        <v>419</v>
      </c>
    </row>
    <row r="43" spans="1:20">
      <c r="A43" s="72" t="str">
        <f t="shared" ca="1" si="5"/>
        <v/>
      </c>
      <c r="C43">
        <v>5947.96</v>
      </c>
      <c r="D43">
        <v>5959.07</v>
      </c>
      <c r="E43">
        <v>6331.26</v>
      </c>
      <c r="F43">
        <v>6331.26</v>
      </c>
      <c r="N43" s="72" t="str">
        <f t="shared" ca="1" si="9"/>
        <v/>
      </c>
      <c r="O43">
        <v>3</v>
      </c>
      <c r="R43" t="str">
        <f t="shared" ca="1" si="6"/>
        <v/>
      </c>
      <c r="S43" t="s">
        <v>188</v>
      </c>
      <c r="T43" t="s">
        <v>420</v>
      </c>
    </row>
    <row r="44" spans="1:20">
      <c r="A44" s="72" t="str">
        <f t="shared" ca="1" si="5"/>
        <v/>
      </c>
      <c r="C44">
        <v>3471.01</v>
      </c>
      <c r="D44">
        <v>3482.41</v>
      </c>
      <c r="E44">
        <v>3715.93</v>
      </c>
      <c r="F44">
        <v>3715.93</v>
      </c>
      <c r="N44" s="72" t="str">
        <f t="shared" ca="1" si="9"/>
        <v/>
      </c>
      <c r="O44">
        <v>2</v>
      </c>
      <c r="R44" t="str">
        <f t="shared" ca="1" si="6"/>
        <v/>
      </c>
      <c r="S44" t="s">
        <v>313</v>
      </c>
      <c r="T44" t="s">
        <v>421</v>
      </c>
    </row>
    <row r="45" spans="1:20">
      <c r="A45" s="72" t="str">
        <f t="shared" ca="1" si="5"/>
        <v/>
      </c>
      <c r="C45">
        <v>1938.21</v>
      </c>
      <c r="D45">
        <v>2290.44</v>
      </c>
      <c r="E45">
        <v>2642.97</v>
      </c>
      <c r="F45">
        <v>2642.97</v>
      </c>
      <c r="N45" s="72" t="str">
        <f t="shared" ca="1" si="9"/>
        <v/>
      </c>
      <c r="O45">
        <v>0</v>
      </c>
      <c r="R45" t="str">
        <f t="shared" ca="1" si="6"/>
        <v/>
      </c>
      <c r="S45" t="s">
        <v>323</v>
      </c>
      <c r="T45" t="s">
        <v>422</v>
      </c>
    </row>
    <row r="46" spans="1:20">
      <c r="A46" s="72" t="str">
        <f t="shared" ca="1" si="5"/>
        <v/>
      </c>
      <c r="C46">
        <v>4258.87</v>
      </c>
      <c r="D46">
        <v>4445.63</v>
      </c>
      <c r="E46">
        <v>4678.3500000000004</v>
      </c>
      <c r="F46">
        <v>4678.3500000000004</v>
      </c>
      <c r="N46" s="72" t="str">
        <f t="shared" ca="1" si="9"/>
        <v/>
      </c>
      <c r="O46">
        <v>0</v>
      </c>
      <c r="R46" t="str">
        <f t="shared" ca="1" si="6"/>
        <v/>
      </c>
      <c r="S46" t="s">
        <v>324</v>
      </c>
      <c r="T46" t="s">
        <v>423</v>
      </c>
    </row>
    <row r="47" spans="1:20">
      <c r="A47" s="72" t="str">
        <f t="shared" ca="1" si="5"/>
        <v/>
      </c>
      <c r="C47">
        <v>4055.91</v>
      </c>
      <c r="D47">
        <v>4315.3100000000004</v>
      </c>
      <c r="E47">
        <v>4638.54</v>
      </c>
      <c r="F47">
        <v>4638.54</v>
      </c>
      <c r="N47" s="72" t="str">
        <f t="shared" ca="1" si="9"/>
        <v/>
      </c>
      <c r="O47">
        <v>0</v>
      </c>
      <c r="R47" t="str">
        <f t="shared" ca="1" si="6"/>
        <v/>
      </c>
      <c r="S47" t="s">
        <v>325</v>
      </c>
      <c r="T47" t="s">
        <v>424</v>
      </c>
    </row>
    <row r="48" spans="1:20">
      <c r="A48" s="72" t="str">
        <f t="shared" ca="1" si="5"/>
        <v/>
      </c>
      <c r="B48">
        <v>495.79</v>
      </c>
      <c r="C48">
        <f>IF(Loonschalen!C48&gt;2,0,495.79)</f>
        <v>495.79</v>
      </c>
      <c r="N48" s="72" t="str">
        <f t="shared" ca="1" si="9"/>
        <v/>
      </c>
      <c r="O48">
        <v>0</v>
      </c>
      <c r="R48" t="str">
        <f t="shared" ca="1" si="6"/>
        <v/>
      </c>
      <c r="S48" t="s">
        <v>326</v>
      </c>
      <c r="T48" t="s">
        <v>425</v>
      </c>
    </row>
    <row r="49" spans="1:20">
      <c r="A49" s="72" t="str">
        <f t="shared" ca="1" si="5"/>
        <v/>
      </c>
      <c r="C49">
        <v>1755.39</v>
      </c>
      <c r="D49">
        <v>1765.65</v>
      </c>
      <c r="E49">
        <v>1938.78</v>
      </c>
      <c r="N49" s="72" t="str">
        <f t="shared" ca="1" si="9"/>
        <v/>
      </c>
      <c r="O49">
        <v>0</v>
      </c>
      <c r="R49" t="str">
        <f t="shared" ca="1" si="6"/>
        <v/>
      </c>
      <c r="S49" t="s">
        <v>327</v>
      </c>
      <c r="T49" t="s">
        <v>426</v>
      </c>
    </row>
    <row r="50" spans="1:20">
      <c r="A50" s="72" t="str">
        <f t="shared" ca="1" si="5"/>
        <v/>
      </c>
      <c r="E50">
        <v>1938.78</v>
      </c>
      <c r="F50">
        <v>1938.78</v>
      </c>
      <c r="J50">
        <v>1938.78</v>
      </c>
      <c r="K50">
        <v>1938.78</v>
      </c>
      <c r="N50" s="72" t="str">
        <f t="shared" ca="1" si="9"/>
        <v/>
      </c>
      <c r="O50">
        <v>0</v>
      </c>
      <c r="R50" t="str">
        <f t="shared" ca="1" si="6"/>
        <v/>
      </c>
      <c r="S50" t="s">
        <v>328</v>
      </c>
      <c r="T50" t="s">
        <v>427</v>
      </c>
    </row>
    <row r="51" spans="1:20">
      <c r="A51" s="72" t="str">
        <f t="shared" ca="1" si="5"/>
        <v/>
      </c>
      <c r="G51">
        <v>1000</v>
      </c>
      <c r="H51">
        <v>1000</v>
      </c>
      <c r="I51">
        <v>1000</v>
      </c>
      <c r="J51">
        <v>1500</v>
      </c>
      <c r="N51" s="72" t="str">
        <f t="shared" ca="1" si="9"/>
        <v/>
      </c>
      <c r="O51">
        <v>0</v>
      </c>
      <c r="R51" t="str">
        <f t="shared" ca="1" si="6"/>
        <v/>
      </c>
      <c r="S51" t="s">
        <v>329</v>
      </c>
      <c r="T51" t="s">
        <v>428</v>
      </c>
    </row>
    <row r="52" spans="1:20">
      <c r="A52" s="72" t="str">
        <f t="shared" ca="1" si="5"/>
        <v/>
      </c>
      <c r="C52">
        <v>1755.39</v>
      </c>
      <c r="D52">
        <v>1765.65</v>
      </c>
      <c r="E52">
        <v>1938.78</v>
      </c>
      <c r="F52">
        <v>1938.78</v>
      </c>
      <c r="G52">
        <v>1755.39</v>
      </c>
      <c r="H52">
        <v>1765.65</v>
      </c>
      <c r="I52">
        <v>1938.78</v>
      </c>
      <c r="J52">
        <v>1938.78</v>
      </c>
      <c r="K52">
        <v>1938.78</v>
      </c>
      <c r="N52" s="72" t="str">
        <f t="shared" ca="1" si="9"/>
        <v/>
      </c>
      <c r="O52">
        <v>0</v>
      </c>
      <c r="R52" t="str">
        <f t="shared" ca="1" si="6"/>
        <v/>
      </c>
      <c r="S52" t="s">
        <v>330</v>
      </c>
      <c r="T52" t="s">
        <v>429</v>
      </c>
    </row>
    <row r="53" spans="1:20">
      <c r="A53" s="72" t="str">
        <f t="shared" ca="1" si="5"/>
        <v/>
      </c>
      <c r="B53">
        <v>818.05</v>
      </c>
      <c r="C53">
        <f>B53</f>
        <v>818.05</v>
      </c>
      <c r="D53">
        <f>C53</f>
        <v>818.05</v>
      </c>
      <c r="E53">
        <f>D53</f>
        <v>818.05</v>
      </c>
      <c r="F53">
        <f>E53</f>
        <v>818.05</v>
      </c>
      <c r="N53" s="72" t="str">
        <f t="shared" ca="1" si="9"/>
        <v/>
      </c>
      <c r="O53">
        <v>0</v>
      </c>
      <c r="R53" t="str">
        <f t="shared" ca="1" si="6"/>
        <v/>
      </c>
      <c r="S53" t="s">
        <v>331</v>
      </c>
      <c r="T53" t="s">
        <v>430</v>
      </c>
    </row>
    <row r="54" spans="1:20">
      <c r="A54" s="72" t="str">
        <f t="shared" ca="1" si="5"/>
        <v/>
      </c>
      <c r="C54">
        <v>4015.88</v>
      </c>
      <c r="D54">
        <f>C54</f>
        <v>4015.88</v>
      </c>
      <c r="E54">
        <f t="shared" ref="E54:K54" si="10">D54</f>
        <v>4015.88</v>
      </c>
      <c r="F54">
        <f t="shared" si="10"/>
        <v>4015.88</v>
      </c>
      <c r="G54">
        <f t="shared" si="10"/>
        <v>4015.88</v>
      </c>
      <c r="H54">
        <f t="shared" si="10"/>
        <v>4015.88</v>
      </c>
      <c r="I54">
        <f t="shared" si="10"/>
        <v>4015.88</v>
      </c>
      <c r="J54">
        <f t="shared" si="10"/>
        <v>4015.88</v>
      </c>
      <c r="K54">
        <f t="shared" si="10"/>
        <v>4015.88</v>
      </c>
      <c r="N54" s="72" t="str">
        <f t="shared" ca="1" si="9"/>
        <v/>
      </c>
      <c r="O54">
        <v>0</v>
      </c>
      <c r="R54" t="str">
        <f t="shared" ca="1" si="6"/>
        <v/>
      </c>
      <c r="S54" t="s">
        <v>332</v>
      </c>
      <c r="T54" t="s">
        <v>431</v>
      </c>
    </row>
    <row r="55" spans="1:20">
      <c r="A55" s="72">
        <f t="shared" si="5"/>
        <v>0</v>
      </c>
    </row>
    <row r="56" spans="1:20">
      <c r="A56" s="72" t="str">
        <f t="shared" ca="1" si="5"/>
        <v/>
      </c>
      <c r="B56">
        <v>1</v>
      </c>
      <c r="C56">
        <v>2</v>
      </c>
      <c r="D56">
        <v>3</v>
      </c>
      <c r="E56">
        <v>4</v>
      </c>
      <c r="F56">
        <v>5</v>
      </c>
      <c r="G56">
        <v>7</v>
      </c>
      <c r="H56">
        <v>8</v>
      </c>
      <c r="I56">
        <v>9</v>
      </c>
      <c r="J56">
        <v>9.8000000000000007</v>
      </c>
      <c r="K56">
        <v>10</v>
      </c>
      <c r="R56" t="str">
        <f t="shared" ca="1" si="6"/>
        <v/>
      </c>
      <c r="S56" t="s">
        <v>302</v>
      </c>
      <c r="T56" t="s">
        <v>432</v>
      </c>
    </row>
    <row r="57" spans="1:20">
      <c r="A57" s="72" t="str">
        <f t="shared" ca="1" si="5"/>
        <v/>
      </c>
      <c r="C57">
        <v>1950.43</v>
      </c>
      <c r="D57">
        <v>1961.83</v>
      </c>
      <c r="E57">
        <v>2154.1999999999998</v>
      </c>
      <c r="F57">
        <v>2154.1999999999998</v>
      </c>
      <c r="R57" t="str">
        <f t="shared" ca="1" si="6"/>
        <v/>
      </c>
      <c r="S57" t="s">
        <v>314</v>
      </c>
      <c r="T57" t="s">
        <v>433</v>
      </c>
    </row>
    <row r="58" spans="1:20">
      <c r="A58" s="72" t="str">
        <f t="shared" ca="1" si="5"/>
        <v/>
      </c>
      <c r="C58">
        <v>1338.63</v>
      </c>
      <c r="D58">
        <v>1338.63</v>
      </c>
      <c r="R58" t="str">
        <f t="shared" ca="1" si="6"/>
        <v/>
      </c>
      <c r="S58" t="s">
        <v>189</v>
      </c>
      <c r="T58" t="s">
        <v>434</v>
      </c>
    </row>
    <row r="59" spans="1:20">
      <c r="A59" s="72" t="str">
        <f t="shared" ca="1" si="5"/>
        <v/>
      </c>
      <c r="C59">
        <v>2141.8000000000002</v>
      </c>
      <c r="D59">
        <v>2141.8000000000002</v>
      </c>
      <c r="N59" t="str">
        <f ca="1">IF($N$3="Nederlands",O59,(IF($N$3="Français",P59,"")))</f>
        <v/>
      </c>
      <c r="O59" t="s">
        <v>397</v>
      </c>
      <c r="P59" t="s">
        <v>398</v>
      </c>
      <c r="R59" t="str">
        <f t="shared" ca="1" si="6"/>
        <v/>
      </c>
      <c r="S59" t="s">
        <v>190</v>
      </c>
      <c r="T59" t="s">
        <v>435</v>
      </c>
    </row>
    <row r="60" spans="1:20">
      <c r="N60" t="str">
        <f ca="1">IF($N$3="Nederlands",O60,(IF($N$3="Français",P60,"")))</f>
        <v/>
      </c>
      <c r="O60" t="s">
        <v>402</v>
      </c>
      <c r="P60" t="s">
        <v>399</v>
      </c>
    </row>
    <row r="61" spans="1:20">
      <c r="N61" t="str">
        <f ca="1">IF($N$3="Nederlands",O61,(IF($N$3="Français",P61,"")))</f>
        <v/>
      </c>
      <c r="O61" t="s">
        <v>400</v>
      </c>
      <c r="P61" t="s">
        <v>401</v>
      </c>
    </row>
    <row r="63" spans="1:20">
      <c r="A63" t="str">
        <f ca="1">R63</f>
        <v/>
      </c>
      <c r="B63">
        <v>1</v>
      </c>
      <c r="C63">
        <v>2</v>
      </c>
      <c r="D63">
        <v>3</v>
      </c>
      <c r="E63">
        <v>4</v>
      </c>
      <c r="F63">
        <v>5</v>
      </c>
      <c r="G63">
        <v>7</v>
      </c>
      <c r="H63">
        <v>8</v>
      </c>
      <c r="I63">
        <v>9</v>
      </c>
      <c r="J63">
        <v>9.8000000000000007</v>
      </c>
      <c r="K63">
        <v>11</v>
      </c>
      <c r="R63" t="str">
        <f ca="1">IF($N$3="Nederlands",S63,(IF($N$3="Français",T63,"")))</f>
        <v/>
      </c>
      <c r="S63" t="s">
        <v>315</v>
      </c>
      <c r="T63" t="s">
        <v>436</v>
      </c>
    </row>
    <row r="64" spans="1:20">
      <c r="A64">
        <v>1</v>
      </c>
      <c r="F64">
        <v>5354.51</v>
      </c>
    </row>
    <row r="65" spans="1:20">
      <c r="A65">
        <v>2</v>
      </c>
      <c r="F65">
        <v>6693.13</v>
      </c>
    </row>
    <row r="66" spans="1:20">
      <c r="A66">
        <v>3</v>
      </c>
      <c r="F66">
        <v>8031.76</v>
      </c>
    </row>
    <row r="67" spans="1:20">
      <c r="A67">
        <v>4</v>
      </c>
      <c r="F67">
        <v>10709.01</v>
      </c>
    </row>
    <row r="68" spans="1:20">
      <c r="A68">
        <v>5</v>
      </c>
      <c r="F68">
        <v>12047.63</v>
      </c>
    </row>
    <row r="69" spans="1:20">
      <c r="A69">
        <v>6</v>
      </c>
      <c r="F69">
        <v>13386.26</v>
      </c>
    </row>
    <row r="70" spans="1:20">
      <c r="A70" t="s">
        <v>301</v>
      </c>
      <c r="F70">
        <v>8031.76</v>
      </c>
      <c r="K70">
        <v>8031.76</v>
      </c>
    </row>
    <row r="73" spans="1:20">
      <c r="A73" t="str">
        <f ca="1">R73</f>
        <v/>
      </c>
      <c r="B73" t="str">
        <f ca="1">R74</f>
        <v/>
      </c>
      <c r="R73" t="str">
        <f ca="1">IF($N$3="Nederlands",S73,(IF($N$3="Français",T73,"")))</f>
        <v/>
      </c>
      <c r="S73" t="s">
        <v>193</v>
      </c>
      <c r="T73" t="s">
        <v>437</v>
      </c>
    </row>
    <row r="74" spans="1:20">
      <c r="A74">
        <v>1</v>
      </c>
      <c r="B74">
        <v>669.32</v>
      </c>
      <c r="R74" t="str">
        <f ca="1">IF($N$3="Nederlands",S74,(IF($N$3="Français",T74,"")))</f>
        <v/>
      </c>
      <c r="S74" t="s">
        <v>438</v>
      </c>
      <c r="T74" t="s">
        <v>439</v>
      </c>
    </row>
    <row r="75" spans="1:20">
      <c r="A75">
        <v>2</v>
      </c>
      <c r="B75">
        <v>803.18</v>
      </c>
    </row>
    <row r="76" spans="1:20">
      <c r="A76">
        <v>3</v>
      </c>
      <c r="B76">
        <v>937.04</v>
      </c>
    </row>
    <row r="77" spans="1:20">
      <c r="A77">
        <v>4</v>
      </c>
      <c r="B77">
        <v>1070.9100000000001</v>
      </c>
    </row>
    <row r="78" spans="1:20">
      <c r="A78">
        <v>5</v>
      </c>
      <c r="B78">
        <v>1204.77</v>
      </c>
    </row>
    <row r="79" spans="1:20">
      <c r="A79" s="73" t="str">
        <f ca="1">R79</f>
        <v/>
      </c>
      <c r="B79">
        <v>1338.63</v>
      </c>
      <c r="R79" t="str">
        <f t="shared" ref="R79:R95" ca="1" si="11">IF($N$3="Nederlands",S79,(IF($N$3="Français",T79,"")))</f>
        <v/>
      </c>
      <c r="S79" t="s">
        <v>194</v>
      </c>
      <c r="T79" t="s">
        <v>440</v>
      </c>
    </row>
    <row r="81" spans="1:20">
      <c r="A81" t="str">
        <f ca="1">R81</f>
        <v/>
      </c>
      <c r="B81" t="str">
        <f ca="1">R82</f>
        <v/>
      </c>
      <c r="C81" t="s">
        <v>536</v>
      </c>
      <c r="D81" t="str">
        <f ca="1">R84</f>
        <v/>
      </c>
      <c r="R81" t="str">
        <f t="shared" ca="1" si="11"/>
        <v/>
      </c>
      <c r="S81" t="s">
        <v>195</v>
      </c>
      <c r="T81" t="s">
        <v>441</v>
      </c>
    </row>
    <row r="82" spans="1:20">
      <c r="A82">
        <v>4</v>
      </c>
      <c r="B82">
        <v>22.31</v>
      </c>
      <c r="C82">
        <v>89.25</v>
      </c>
      <c r="D82">
        <f>ROUND(C82*1.5,2)</f>
        <v>133.88</v>
      </c>
      <c r="R82" t="str">
        <f t="shared" ca="1" si="11"/>
        <v/>
      </c>
      <c r="S82" t="s">
        <v>316</v>
      </c>
      <c r="T82" t="s">
        <v>442</v>
      </c>
    </row>
    <row r="83" spans="1:20">
      <c r="A83">
        <v>3</v>
      </c>
      <c r="B83">
        <v>33.47</v>
      </c>
      <c r="C83">
        <v>133.87</v>
      </c>
      <c r="D83">
        <f>ROUND(C83*1.5,2)</f>
        <v>200.81</v>
      </c>
      <c r="R83" t="str">
        <f t="shared" ca="1" si="11"/>
        <v/>
      </c>
      <c r="S83" t="s">
        <v>317</v>
      </c>
      <c r="T83" t="s">
        <v>443</v>
      </c>
    </row>
    <row r="84" spans="1:20">
      <c r="A84">
        <v>2</v>
      </c>
      <c r="B84">
        <v>44.62</v>
      </c>
      <c r="C84">
        <v>178.49</v>
      </c>
      <c r="D84">
        <f>ROUND(C84*1.5,2)</f>
        <v>267.74</v>
      </c>
      <c r="R84" t="str">
        <f t="shared" ca="1" si="11"/>
        <v/>
      </c>
      <c r="S84" t="s">
        <v>318</v>
      </c>
      <c r="T84" t="s">
        <v>318</v>
      </c>
    </row>
    <row r="85" spans="1:20">
      <c r="A85">
        <v>1</v>
      </c>
      <c r="B85">
        <v>55.78</v>
      </c>
      <c r="C85">
        <f>IF(OR(SIMUL!B40="ja",SIMUL!B40="oui"),267.73,223.11)</f>
        <v>223.11</v>
      </c>
      <c r="D85">
        <f>ROUND(C86*1.5,2)</f>
        <v>401.6</v>
      </c>
    </row>
    <row r="86" spans="1:20">
      <c r="C86">
        <v>267.73</v>
      </c>
      <c r="R86" t="str">
        <f t="shared" ca="1" si="11"/>
        <v/>
      </c>
      <c r="S86" t="s">
        <v>375</v>
      </c>
      <c r="T86" t="s">
        <v>444</v>
      </c>
    </row>
    <row r="87" spans="1:20">
      <c r="R87" t="str">
        <f t="shared" ca="1" si="11"/>
        <v/>
      </c>
      <c r="S87" t="s">
        <v>378</v>
      </c>
      <c r="T87" t="s">
        <v>445</v>
      </c>
    </row>
    <row r="88" spans="1:20">
      <c r="A88" t="str">
        <f ca="1">R86</f>
        <v/>
      </c>
      <c r="E88" t="str">
        <f ca="1">R87</f>
        <v/>
      </c>
      <c r="N88" t="str">
        <f ca="1">R88</f>
        <v/>
      </c>
      <c r="R88" t="str">
        <f t="shared" ca="1" si="11"/>
        <v/>
      </c>
      <c r="S88" t="s">
        <v>372</v>
      </c>
      <c r="T88" t="s">
        <v>446</v>
      </c>
    </row>
    <row r="89" spans="1:20">
      <c r="E89" t="str">
        <f ca="1">R91</f>
        <v/>
      </c>
      <c r="H89">
        <v>6456.39</v>
      </c>
      <c r="N89" t="str">
        <f ca="1">R94</f>
        <v/>
      </c>
      <c r="O89" t="e">
        <f>IF(Loonschalen!F47=1,3402.84,2381.98)</f>
        <v>#N/A</v>
      </c>
      <c r="R89" t="str">
        <f t="shared" ca="1" si="11"/>
        <v/>
      </c>
      <c r="S89" t="s">
        <v>376</v>
      </c>
      <c r="T89" t="s">
        <v>447</v>
      </c>
    </row>
    <row r="90" spans="1:20">
      <c r="A90" t="str">
        <f ca="1">R89</f>
        <v/>
      </c>
      <c r="B90">
        <v>3402.84</v>
      </c>
      <c r="E90" t="str">
        <f ca="1">R92</f>
        <v/>
      </c>
      <c r="H90">
        <v>3402.84</v>
      </c>
      <c r="N90" t="str">
        <f ca="1">R95</f>
        <v/>
      </c>
      <c r="O90">
        <v>2381.98</v>
      </c>
      <c r="R90" t="str">
        <f t="shared" ca="1" si="11"/>
        <v/>
      </c>
      <c r="S90" t="s">
        <v>377</v>
      </c>
      <c r="T90" t="s">
        <v>448</v>
      </c>
    </row>
    <row r="91" spans="1:20">
      <c r="A91" t="str">
        <f ca="1">R90</f>
        <v/>
      </c>
      <c r="B91">
        <v>2381.98</v>
      </c>
      <c r="E91" t="str">
        <f ca="1">R93</f>
        <v/>
      </c>
      <c r="H91">
        <v>2381.98</v>
      </c>
      <c r="R91" t="str">
        <f t="shared" ca="1" si="11"/>
        <v/>
      </c>
      <c r="S91" t="s">
        <v>209</v>
      </c>
      <c r="T91" t="s">
        <v>449</v>
      </c>
    </row>
    <row r="92" spans="1:20">
      <c r="R92" t="str">
        <f t="shared" ca="1" si="11"/>
        <v/>
      </c>
      <c r="S92" t="s">
        <v>380</v>
      </c>
      <c r="T92" t="s">
        <v>450</v>
      </c>
    </row>
    <row r="93" spans="1:20">
      <c r="A93" t="str">
        <f ca="1">K93</f>
        <v/>
      </c>
      <c r="K93" t="str">
        <f ca="1">IF($N$3="Nederlands",L93,(IF($N$3="Français",M93,"")))</f>
        <v/>
      </c>
      <c r="L93" t="s">
        <v>211</v>
      </c>
      <c r="M93" t="s">
        <v>454</v>
      </c>
      <c r="R93" t="str">
        <f t="shared" ca="1" si="11"/>
        <v/>
      </c>
      <c r="S93" t="s">
        <v>379</v>
      </c>
      <c r="T93" t="s">
        <v>451</v>
      </c>
    </row>
    <row r="94" spans="1:20">
      <c r="A94" t="str">
        <f ca="1">K94</f>
        <v/>
      </c>
      <c r="B94">
        <v>3</v>
      </c>
      <c r="C94">
        <v>353.67</v>
      </c>
      <c r="K94" t="str">
        <f ca="1">IF($N$3="Nederlands",L94,(IF($N$3="Français",M94,"")))</f>
        <v/>
      </c>
      <c r="L94" t="s">
        <v>213</v>
      </c>
      <c r="M94" t="s">
        <v>455</v>
      </c>
      <c r="R94" t="str">
        <f t="shared" ca="1" si="11"/>
        <v/>
      </c>
      <c r="S94" t="s">
        <v>373</v>
      </c>
      <c r="T94" t="s">
        <v>452</v>
      </c>
    </row>
    <row r="95" spans="1:20">
      <c r="A95" t="str">
        <f ca="1">K95</f>
        <v/>
      </c>
      <c r="B95">
        <v>2</v>
      </c>
      <c r="C95">
        <v>281.95999999999998</v>
      </c>
      <c r="K95" t="str">
        <f ca="1">IF($N$3="Nederlands",L95,(IF($N$3="Français",M95,"")))</f>
        <v/>
      </c>
      <c r="L95" t="s">
        <v>214</v>
      </c>
      <c r="M95" t="s">
        <v>214</v>
      </c>
      <c r="R95" t="str">
        <f t="shared" ca="1" si="11"/>
        <v/>
      </c>
      <c r="S95" t="s">
        <v>374</v>
      </c>
      <c r="T95" t="s">
        <v>453</v>
      </c>
    </row>
    <row r="96" spans="1:20">
      <c r="A96" t="str">
        <f ca="1">K96</f>
        <v/>
      </c>
      <c r="B96">
        <v>1</v>
      </c>
      <c r="C96">
        <v>219.86</v>
      </c>
      <c r="K96" t="str">
        <f ca="1">IF($N$3="Nederlands",L96,(IF($N$3="Français",M96,"")))</f>
        <v/>
      </c>
      <c r="L96" t="s">
        <v>319</v>
      </c>
      <c r="M96" t="s">
        <v>456</v>
      </c>
    </row>
    <row r="100" spans="1:20">
      <c r="A100" t="str">
        <f ca="1">IF($N$3="Nederlands",B100,(IF($N$3="Français",C100,"")))</f>
        <v/>
      </c>
      <c r="B100" t="s">
        <v>334</v>
      </c>
      <c r="C100" t="s">
        <v>384</v>
      </c>
    </row>
    <row r="101" spans="1:20">
      <c r="A101" t="str">
        <f ca="1">IF($N$3="Nederlands",B101,(IF($N$3="Français",C101,"")))</f>
        <v/>
      </c>
      <c r="B101" t="s">
        <v>335</v>
      </c>
      <c r="C101" t="s">
        <v>385</v>
      </c>
    </row>
    <row r="103" spans="1:20">
      <c r="A103" t="s">
        <v>337</v>
      </c>
      <c r="B103">
        <f>SIMUL!F52</f>
        <v>0</v>
      </c>
      <c r="C103" t="e">
        <f ca="1">VLOOKUP(B103,A104:B109,2,FALSE)</f>
        <v>#N/A</v>
      </c>
      <c r="D103" t="e">
        <f ca="1">VLOOKUP(B103,A104:C109,3,FALSE)</f>
        <v>#N/A</v>
      </c>
      <c r="G103" t="str">
        <f ca="1">IF($N$3="Nederlands",H103,(IF($N$3="Français",I103,"")))</f>
        <v/>
      </c>
      <c r="H103" t="s">
        <v>386</v>
      </c>
      <c r="I103" t="s">
        <v>393</v>
      </c>
    </row>
    <row r="104" spans="1:20">
      <c r="A104" t="str">
        <f ca="1">IF($N$3="Nederlands","Benzine",(IF($N$3="Français","Essence","")))</f>
        <v/>
      </c>
      <c r="B104">
        <v>0</v>
      </c>
      <c r="C104">
        <v>0</v>
      </c>
      <c r="G104" t="str">
        <f ca="1">IF($N$3="Nederlands",H104,(IF($N$3="Français",I104,"")))</f>
        <v/>
      </c>
      <c r="H104" t="s">
        <v>387</v>
      </c>
      <c r="I104" t="s">
        <v>390</v>
      </c>
    </row>
    <row r="105" spans="1:20">
      <c r="A105" t="s">
        <v>338</v>
      </c>
      <c r="B105">
        <v>0</v>
      </c>
      <c r="C105">
        <v>1</v>
      </c>
      <c r="G105" t="str">
        <f ca="1">IF($N$3="Nederlands",H105,(IF($N$3="Français",I105,"")))</f>
        <v/>
      </c>
      <c r="H105" t="s">
        <v>388</v>
      </c>
      <c r="I105" t="s">
        <v>391</v>
      </c>
    </row>
    <row r="106" spans="1:20">
      <c r="A106" t="str">
        <f ca="1">IF($N$3="Nederlands","Elektrisch",(IF($N$3="Français","Electrique","")))</f>
        <v/>
      </c>
      <c r="B106">
        <v>0</v>
      </c>
      <c r="C106">
        <v>0</v>
      </c>
      <c r="G106" t="str">
        <f ca="1">IF($N$3="Nederlands",H106,(IF($N$3="Français",I106,"")))</f>
        <v/>
      </c>
      <c r="H106" t="s">
        <v>389</v>
      </c>
      <c r="I106" t="s">
        <v>392</v>
      </c>
    </row>
    <row r="107" spans="1:20">
      <c r="A107" t="str">
        <f ca="1">IF($N$3="Nederlands","Gas",(IF($N$3="Français","Gaz","")))</f>
        <v/>
      </c>
      <c r="B107">
        <v>0</v>
      </c>
      <c r="C107">
        <v>0</v>
      </c>
    </row>
    <row r="108" spans="1:20">
      <c r="A108" t="str">
        <f ca="1">IF($N$3="Nederlands","Plug-in hybride benzine",(IF($N$3="Français","Plug-in hybride essence","")))</f>
        <v/>
      </c>
      <c r="B108">
        <v>1</v>
      </c>
      <c r="C108">
        <v>0</v>
      </c>
      <c r="G108" t="str">
        <f ca="1">IF($N$3="Nederlands",H108,(IF($N$3="Français",I108,"")))</f>
        <v/>
      </c>
      <c r="H108" t="s">
        <v>395</v>
      </c>
      <c r="I108" t="s">
        <v>396</v>
      </c>
    </row>
    <row r="109" spans="1:20">
      <c r="A109" t="s">
        <v>394</v>
      </c>
      <c r="B109">
        <v>1</v>
      </c>
      <c r="C109">
        <v>1</v>
      </c>
      <c r="H109" t="s">
        <v>558</v>
      </c>
      <c r="I109" t="s">
        <v>557</v>
      </c>
    </row>
    <row r="111" spans="1:20">
      <c r="B111">
        <v>0</v>
      </c>
    </row>
    <row r="112" spans="1:20">
      <c r="A112" t="str">
        <f ca="1">R112</f>
        <v/>
      </c>
      <c r="B112">
        <v>20</v>
      </c>
      <c r="R112" t="str">
        <f ca="1">IF($N$3="Nederlands",S112,(IF($N$3="Français",T112,"")))</f>
        <v/>
      </c>
      <c r="S112" t="s">
        <v>560</v>
      </c>
      <c r="T112" t="s">
        <v>562</v>
      </c>
    </row>
    <row r="113" spans="1:20">
      <c r="A113" t="str">
        <f ca="1">R113</f>
        <v/>
      </c>
      <c r="B113">
        <f ca="1">BBSZ!B42</f>
        <v>56.56</v>
      </c>
      <c r="R113" t="str">
        <f ca="1">IF($N$3="Nederlands",S113,(IF($N$3="Français",T113,"")))</f>
        <v/>
      </c>
      <c r="S113" t="s">
        <v>559</v>
      </c>
      <c r="T113" t="s">
        <v>561</v>
      </c>
    </row>
    <row r="120" spans="1:20">
      <c r="A120" t="str">
        <f ca="1">G120</f>
        <v/>
      </c>
      <c r="G120" t="str">
        <f ca="1">IF($N$3="Nederlands",H120,(IF($N$3="Français",I120,"")))</f>
        <v/>
      </c>
      <c r="H120" t="s">
        <v>563</v>
      </c>
      <c r="I120" t="s">
        <v>567</v>
      </c>
    </row>
    <row r="121" spans="1:20">
      <c r="A121" t="str">
        <f ca="1">G121</f>
        <v/>
      </c>
      <c r="G121" t="str">
        <f ca="1">IF($N$3="Nederlands",H121,(IF($N$3="Français",I121,"")))</f>
        <v/>
      </c>
      <c r="H121" t="s">
        <v>564</v>
      </c>
      <c r="I121" t="s">
        <v>568</v>
      </c>
    </row>
    <row r="122" spans="1:20">
      <c r="A122" t="str">
        <f ca="1">G122</f>
        <v/>
      </c>
      <c r="G122" t="str">
        <f ca="1">IF($N$3="Nederlands",H122,(IF($N$3="Français",I122,"")))</f>
        <v/>
      </c>
      <c r="H122" t="s">
        <v>565</v>
      </c>
      <c r="I122" t="s">
        <v>569</v>
      </c>
    </row>
    <row r="123" spans="1:20">
      <c r="A123" t="str">
        <f ca="1">G123</f>
        <v/>
      </c>
      <c r="G123" t="str">
        <f ca="1">IF($N$3="Nederlands",H123,(IF($N$3="Français",I123,"")))</f>
        <v/>
      </c>
      <c r="H123" t="s">
        <v>566</v>
      </c>
      <c r="I123" t="s">
        <v>570</v>
      </c>
    </row>
    <row r="126" spans="1:20">
      <c r="A126" t="str">
        <f ca="1">G126</f>
        <v/>
      </c>
      <c r="G126" t="str">
        <f ca="1">IF($N$3="Nederlands",H126,(IF($N$3="Français",I126,"")))</f>
        <v/>
      </c>
      <c r="H126" t="s">
        <v>572</v>
      </c>
      <c r="I126" t="s">
        <v>580</v>
      </c>
    </row>
    <row r="127" spans="1:20">
      <c r="A127" t="str">
        <f ca="1">G127</f>
        <v/>
      </c>
      <c r="G127" t="str">
        <f t="shared" ref="G127" ca="1" si="12">IF($N$3="Nederlands",H127,(IF($N$3="Français",I127,"")))</f>
        <v/>
      </c>
      <c r="H127" t="s">
        <v>573</v>
      </c>
      <c r="I127" t="s">
        <v>581</v>
      </c>
    </row>
    <row r="128" spans="1:20">
      <c r="A128" t="str">
        <f t="shared" ref="A128:A136" si="13">G128</f>
        <v/>
      </c>
      <c r="G128" t="str">
        <f>IF($N$4="Nederlands",H128,(IF($N$4="Français",I128,"")))</f>
        <v/>
      </c>
      <c r="H128" s="170" t="s">
        <v>611</v>
      </c>
      <c r="I128" s="170" t="s">
        <v>610</v>
      </c>
    </row>
    <row r="129" spans="1:9">
      <c r="A129" t="str">
        <f t="shared" si="13"/>
        <v/>
      </c>
      <c r="G129" t="str">
        <f t="shared" ref="G129:G136" si="14">IF($N$4="Nederlands",H129,(IF($N$4="Français",I129,"")))</f>
        <v/>
      </c>
      <c r="H129" s="170" t="s">
        <v>613</v>
      </c>
      <c r="I129" s="170" t="s">
        <v>612</v>
      </c>
    </row>
    <row r="130" spans="1:9">
      <c r="A130" t="str">
        <f t="shared" si="13"/>
        <v/>
      </c>
      <c r="G130" t="str">
        <f t="shared" si="14"/>
        <v/>
      </c>
      <c r="H130" s="170" t="s">
        <v>615</v>
      </c>
      <c r="I130" s="170" t="s">
        <v>614</v>
      </c>
    </row>
    <row r="131" spans="1:9">
      <c r="A131" t="str">
        <f t="shared" si="13"/>
        <v/>
      </c>
      <c r="G131" t="str">
        <f t="shared" si="14"/>
        <v/>
      </c>
      <c r="H131" s="170" t="s">
        <v>617</v>
      </c>
      <c r="I131" s="170" t="s">
        <v>616</v>
      </c>
    </row>
    <row r="132" spans="1:9">
      <c r="A132" t="str">
        <f t="shared" si="13"/>
        <v/>
      </c>
      <c r="G132" t="str">
        <f t="shared" si="14"/>
        <v/>
      </c>
      <c r="H132" s="170" t="s">
        <v>619</v>
      </c>
      <c r="I132" s="170" t="s">
        <v>618</v>
      </c>
    </row>
    <row r="133" spans="1:9">
      <c r="A133" t="str">
        <f t="shared" si="13"/>
        <v/>
      </c>
      <c r="G133" t="str">
        <f t="shared" si="14"/>
        <v/>
      </c>
      <c r="H133" s="170" t="s">
        <v>621</v>
      </c>
      <c r="I133" s="170" t="s">
        <v>620</v>
      </c>
    </row>
    <row r="134" spans="1:9">
      <c r="A134" t="str">
        <f t="shared" si="13"/>
        <v/>
      </c>
      <c r="G134" t="str">
        <f t="shared" si="14"/>
        <v/>
      </c>
      <c r="H134" s="170" t="s">
        <v>623</v>
      </c>
      <c r="I134" s="170" t="s">
        <v>622</v>
      </c>
    </row>
    <row r="135" spans="1:9">
      <c r="A135" t="str">
        <f t="shared" si="13"/>
        <v/>
      </c>
      <c r="G135" t="str">
        <f t="shared" si="14"/>
        <v/>
      </c>
      <c r="H135" s="170" t="s">
        <v>625</v>
      </c>
      <c r="I135" s="170" t="s">
        <v>624</v>
      </c>
    </row>
    <row r="136" spans="1:9">
      <c r="A136" t="str">
        <f t="shared" si="13"/>
        <v/>
      </c>
      <c r="G136" t="str">
        <f t="shared" si="14"/>
        <v/>
      </c>
      <c r="H136" s="170" t="s">
        <v>627</v>
      </c>
      <c r="I136" s="170" t="s">
        <v>626</v>
      </c>
    </row>
    <row r="140" spans="1:9">
      <c r="A140" t="str">
        <f t="shared" ref="A140:A159" si="15">G140</f>
        <v/>
      </c>
      <c r="B140" t="s">
        <v>71</v>
      </c>
      <c r="C140" t="s">
        <v>628</v>
      </c>
      <c r="E140" t="e">
        <f>VLOOKUP('Pre-programmed simulation'!B6,A140:C159,2,FALSE)</f>
        <v>#N/A</v>
      </c>
      <c r="G140" t="str">
        <f t="shared" ref="G140:G159" si="16">IF($N$4="Nederlands",H140,(IF($N$4="Français",I140,"")))</f>
        <v/>
      </c>
      <c r="H140" t="s">
        <v>630</v>
      </c>
      <c r="I140" t="s">
        <v>653</v>
      </c>
    </row>
    <row r="141" spans="1:9">
      <c r="A141" t="str">
        <f t="shared" si="15"/>
        <v/>
      </c>
      <c r="B141" t="s">
        <v>169</v>
      </c>
      <c r="C141" t="s">
        <v>628</v>
      </c>
      <c r="E141" t="e">
        <f>VLOOKUP('Pre-programmed simulation'!B6,A140:C159,3,FALSE)</f>
        <v>#N/A</v>
      </c>
      <c r="G141" t="str">
        <f t="shared" si="16"/>
        <v/>
      </c>
      <c r="H141" t="s">
        <v>631</v>
      </c>
      <c r="I141" t="s">
        <v>654</v>
      </c>
    </row>
    <row r="142" spans="1:9">
      <c r="A142" t="str">
        <f t="shared" si="15"/>
        <v/>
      </c>
      <c r="B142" t="s">
        <v>78</v>
      </c>
      <c r="C142" t="s">
        <v>628</v>
      </c>
      <c r="G142" t="str">
        <f t="shared" si="16"/>
        <v/>
      </c>
      <c r="H142" t="s">
        <v>632</v>
      </c>
      <c r="I142" t="s">
        <v>655</v>
      </c>
    </row>
    <row r="143" spans="1:9">
      <c r="A143" t="str">
        <f t="shared" si="15"/>
        <v/>
      </c>
      <c r="B143" t="s">
        <v>150</v>
      </c>
      <c r="C143" t="s">
        <v>628</v>
      </c>
      <c r="G143" t="str">
        <f t="shared" si="16"/>
        <v/>
      </c>
      <c r="H143" t="s">
        <v>633</v>
      </c>
      <c r="I143" t="s">
        <v>656</v>
      </c>
    </row>
    <row r="144" spans="1:9">
      <c r="A144" t="str">
        <f t="shared" si="15"/>
        <v/>
      </c>
      <c r="B144" t="s">
        <v>83</v>
      </c>
      <c r="C144" t="s">
        <v>629</v>
      </c>
      <c r="G144" t="str">
        <f t="shared" si="16"/>
        <v/>
      </c>
      <c r="H144" t="s">
        <v>634</v>
      </c>
      <c r="I144" t="s">
        <v>657</v>
      </c>
    </row>
    <row r="145" spans="1:9">
      <c r="A145" t="str">
        <f t="shared" si="15"/>
        <v/>
      </c>
      <c r="B145" t="s">
        <v>87</v>
      </c>
      <c r="C145" t="s">
        <v>629</v>
      </c>
      <c r="G145" t="str">
        <f t="shared" si="16"/>
        <v/>
      </c>
      <c r="H145" t="s">
        <v>635</v>
      </c>
      <c r="I145" t="s">
        <v>658</v>
      </c>
    </row>
    <row r="146" spans="1:9">
      <c r="A146" t="str">
        <f t="shared" si="15"/>
        <v/>
      </c>
      <c r="B146" t="s">
        <v>99</v>
      </c>
      <c r="C146" t="s">
        <v>628</v>
      </c>
      <c r="G146" t="str">
        <f t="shared" si="16"/>
        <v/>
      </c>
      <c r="H146" t="s">
        <v>636</v>
      </c>
      <c r="I146" t="s">
        <v>659</v>
      </c>
    </row>
    <row r="147" spans="1:9">
      <c r="A147" t="str">
        <f t="shared" si="15"/>
        <v/>
      </c>
      <c r="B147" t="s">
        <v>103</v>
      </c>
      <c r="C147" t="s">
        <v>628</v>
      </c>
      <c r="G147" t="str">
        <f t="shared" si="16"/>
        <v/>
      </c>
      <c r="H147" t="s">
        <v>637</v>
      </c>
      <c r="I147" t="s">
        <v>660</v>
      </c>
    </row>
    <row r="148" spans="1:9">
      <c r="A148" t="str">
        <f t="shared" si="15"/>
        <v/>
      </c>
      <c r="B148" t="s">
        <v>111</v>
      </c>
      <c r="C148" t="s">
        <v>628</v>
      </c>
      <c r="G148" t="str">
        <f t="shared" si="16"/>
        <v/>
      </c>
      <c r="H148" t="s">
        <v>638</v>
      </c>
      <c r="I148" t="s">
        <v>661</v>
      </c>
    </row>
    <row r="149" spans="1:9">
      <c r="A149" t="str">
        <f t="shared" si="15"/>
        <v/>
      </c>
      <c r="B149" t="s">
        <v>115</v>
      </c>
      <c r="C149" t="s">
        <v>628</v>
      </c>
      <c r="G149" t="str">
        <f t="shared" si="16"/>
        <v/>
      </c>
      <c r="H149" t="s">
        <v>645</v>
      </c>
      <c r="I149" t="s">
        <v>650</v>
      </c>
    </row>
    <row r="150" spans="1:9">
      <c r="A150" t="str">
        <f t="shared" si="15"/>
        <v/>
      </c>
      <c r="B150" t="s">
        <v>115</v>
      </c>
      <c r="C150" t="s">
        <v>628</v>
      </c>
      <c r="G150" t="str">
        <f t="shared" si="16"/>
        <v/>
      </c>
      <c r="H150" t="s">
        <v>639</v>
      </c>
      <c r="I150" t="s">
        <v>662</v>
      </c>
    </row>
    <row r="151" spans="1:9">
      <c r="A151" t="str">
        <f t="shared" si="15"/>
        <v/>
      </c>
      <c r="B151" t="s">
        <v>119</v>
      </c>
      <c r="C151" t="s">
        <v>628</v>
      </c>
      <c r="G151" t="str">
        <f t="shared" si="16"/>
        <v/>
      </c>
      <c r="H151" t="s">
        <v>640</v>
      </c>
      <c r="I151" t="s">
        <v>663</v>
      </c>
    </row>
    <row r="152" spans="1:9">
      <c r="A152" t="str">
        <f t="shared" si="15"/>
        <v/>
      </c>
      <c r="B152" t="s">
        <v>127</v>
      </c>
      <c r="C152" t="s">
        <v>628</v>
      </c>
      <c r="G152" t="str">
        <f t="shared" si="16"/>
        <v/>
      </c>
      <c r="H152" t="s">
        <v>641</v>
      </c>
      <c r="I152" t="s">
        <v>664</v>
      </c>
    </row>
    <row r="153" spans="1:9">
      <c r="A153" t="str">
        <f t="shared" si="15"/>
        <v/>
      </c>
      <c r="B153" t="s">
        <v>127</v>
      </c>
      <c r="C153" t="s">
        <v>628</v>
      </c>
      <c r="G153" t="str">
        <f t="shared" si="16"/>
        <v/>
      </c>
      <c r="H153" t="s">
        <v>642</v>
      </c>
      <c r="I153" t="s">
        <v>651</v>
      </c>
    </row>
    <row r="154" spans="1:9">
      <c r="A154" t="str">
        <f t="shared" si="15"/>
        <v/>
      </c>
      <c r="B154" t="s">
        <v>127</v>
      </c>
      <c r="C154" t="s">
        <v>628</v>
      </c>
      <c r="G154" t="str">
        <f t="shared" si="16"/>
        <v/>
      </c>
      <c r="H154" t="s">
        <v>643</v>
      </c>
      <c r="I154" t="s">
        <v>665</v>
      </c>
    </row>
    <row r="155" spans="1:9">
      <c r="A155" t="str">
        <f t="shared" si="15"/>
        <v/>
      </c>
      <c r="B155" t="s">
        <v>127</v>
      </c>
      <c r="C155" t="s">
        <v>628</v>
      </c>
      <c r="G155" t="str">
        <f t="shared" si="16"/>
        <v/>
      </c>
      <c r="H155" t="s">
        <v>644</v>
      </c>
      <c r="I155" t="s">
        <v>666</v>
      </c>
    </row>
    <row r="156" spans="1:9">
      <c r="A156" t="str">
        <f t="shared" si="15"/>
        <v/>
      </c>
      <c r="B156" t="s">
        <v>127</v>
      </c>
      <c r="C156" t="s">
        <v>628</v>
      </c>
      <c r="G156" t="str">
        <f t="shared" si="16"/>
        <v/>
      </c>
      <c r="H156" t="s">
        <v>646</v>
      </c>
      <c r="I156" t="s">
        <v>667</v>
      </c>
    </row>
    <row r="157" spans="1:9">
      <c r="A157" t="str">
        <f t="shared" si="15"/>
        <v/>
      </c>
      <c r="B157" t="s">
        <v>131</v>
      </c>
      <c r="C157" t="s">
        <v>628</v>
      </c>
      <c r="G157" t="str">
        <f t="shared" si="16"/>
        <v/>
      </c>
      <c r="H157" t="s">
        <v>647</v>
      </c>
      <c r="I157" t="s">
        <v>668</v>
      </c>
    </row>
    <row r="158" spans="1:9">
      <c r="A158" t="str">
        <f t="shared" si="15"/>
        <v/>
      </c>
      <c r="B158" t="s">
        <v>133</v>
      </c>
      <c r="C158" t="s">
        <v>628</v>
      </c>
      <c r="G158" t="str">
        <f t="shared" si="16"/>
        <v/>
      </c>
      <c r="H158" t="s">
        <v>648</v>
      </c>
      <c r="I158" t="s">
        <v>669</v>
      </c>
    </row>
    <row r="159" spans="1:9">
      <c r="A159" t="str">
        <f t="shared" si="15"/>
        <v/>
      </c>
      <c r="B159" t="s">
        <v>136</v>
      </c>
      <c r="C159" t="s">
        <v>628</v>
      </c>
      <c r="G159" t="str">
        <f t="shared" si="16"/>
        <v/>
      </c>
      <c r="H159" t="s">
        <v>649</v>
      </c>
      <c r="I159" t="s">
        <v>670</v>
      </c>
    </row>
    <row r="161" spans="1:13">
      <c r="A161" t="str">
        <f>IF($N$4="","",(IF($N$4="Nederlands","Contractueel",(IF($N$4="Français","Contractuel(le)","")))))</f>
        <v/>
      </c>
    </row>
    <row r="162" spans="1:13">
      <c r="A162" t="str">
        <f>IF($N$4="","",(IF($N$4="Nederlands","Statutair",(IF($N$4="Français","Statutaire","")))))</f>
        <v/>
      </c>
    </row>
    <row r="165" spans="1:13">
      <c r="A165" t="str">
        <f t="shared" ref="A165:A170" si="17">G165</f>
        <v/>
      </c>
      <c r="B165" t="str">
        <f>G165</f>
        <v/>
      </c>
      <c r="C165" t="str">
        <f ca="1">A14</f>
        <v/>
      </c>
      <c r="G165" t="str">
        <f t="shared" ref="G165:G170" si="18">IF($N$4="Nederlands",H165,(IF($N$4="Français",I165,"")))</f>
        <v/>
      </c>
      <c r="H165" t="s">
        <v>303</v>
      </c>
      <c r="I165" t="s">
        <v>405</v>
      </c>
      <c r="M165" t="e">
        <f>VLOOKUP('Pre-programmed simulation'!B9,Gegevenslijsten!A165:C170,2,FALSE)</f>
        <v>#N/A</v>
      </c>
    </row>
    <row r="166" spans="1:13">
      <c r="A166" t="str">
        <f t="shared" si="17"/>
        <v/>
      </c>
      <c r="B166" t="str">
        <f>G165</f>
        <v/>
      </c>
      <c r="C166" t="str">
        <f ca="1">A14</f>
        <v/>
      </c>
      <c r="G166" t="str">
        <f t="shared" si="18"/>
        <v/>
      </c>
      <c r="H166" t="s">
        <v>304</v>
      </c>
      <c r="I166" t="s">
        <v>406</v>
      </c>
      <c r="M166" t="e">
        <f>VLOOKUP('Pre-programmed simulation'!B9,Gegevenslijsten!A165:C170,3,FALSE)</f>
        <v>#N/A</v>
      </c>
    </row>
    <row r="167" spans="1:13">
      <c r="A167" t="str">
        <f t="shared" si="17"/>
        <v/>
      </c>
      <c r="B167" t="str">
        <f>G$167</f>
        <v/>
      </c>
      <c r="G167" t="str">
        <f t="shared" si="18"/>
        <v/>
      </c>
      <c r="H167" t="s">
        <v>305</v>
      </c>
      <c r="I167" t="s">
        <v>539</v>
      </c>
    </row>
    <row r="168" spans="1:13">
      <c r="A168" t="str">
        <f t="shared" si="17"/>
        <v/>
      </c>
      <c r="B168" t="str">
        <f t="shared" ref="B168:B170" si="19">G$167</f>
        <v/>
      </c>
      <c r="G168" t="str">
        <f t="shared" si="18"/>
        <v/>
      </c>
      <c r="H168" t="s">
        <v>306</v>
      </c>
      <c r="I168" t="s">
        <v>408</v>
      </c>
    </row>
    <row r="169" spans="1:13">
      <c r="A169" t="str">
        <f t="shared" si="17"/>
        <v/>
      </c>
      <c r="B169" t="str">
        <f t="shared" si="19"/>
        <v/>
      </c>
      <c r="G169" t="str">
        <f t="shared" si="18"/>
        <v/>
      </c>
      <c r="H169" t="s">
        <v>307</v>
      </c>
      <c r="I169" t="s">
        <v>538</v>
      </c>
    </row>
    <row r="170" spans="1:13">
      <c r="A170" t="str">
        <f t="shared" si="17"/>
        <v/>
      </c>
      <c r="B170" t="str">
        <f t="shared" si="19"/>
        <v/>
      </c>
      <c r="G170" t="str">
        <f t="shared" si="18"/>
        <v/>
      </c>
      <c r="H170" t="s">
        <v>308</v>
      </c>
      <c r="I170" t="s">
        <v>409</v>
      </c>
    </row>
  </sheetData>
  <sheetProtection algorithmName="SHA-512" hashValue="yLWSRO0M2/GGag7GouRJcZlJgM+1SnEROQsARkijkDxecea69a3NJ4gtO1Dfhtsqb+wJE6SaD3fMk8/YvIdrig==" saltValue="HnZvM3twZVP0dtAfv1gxo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C9BF-E528-4AC0-B6C3-1B5FEBBB45D0}">
  <dimension ref="A1:AC86"/>
  <sheetViews>
    <sheetView workbookViewId="0">
      <selection activeCell="B15" sqref="B15"/>
    </sheetView>
  </sheetViews>
  <sheetFormatPr defaultRowHeight="14.4"/>
  <cols>
    <col min="1" max="1" width="21.109375" bestFit="1" customWidth="1"/>
    <col min="2" max="2" width="10.5546875" bestFit="1" customWidth="1"/>
    <col min="4" max="4" width="13.33203125" bestFit="1" customWidth="1"/>
    <col min="5" max="5" width="20.6640625" bestFit="1" customWidth="1"/>
    <col min="6" max="6" width="9.5546875" bestFit="1" customWidth="1"/>
    <col min="7" max="7" width="10.33203125" customWidth="1"/>
    <col min="8" max="8" width="12" customWidth="1"/>
    <col min="11" max="11" width="17.6640625" bestFit="1" customWidth="1"/>
    <col min="12" max="12" width="12.44140625" bestFit="1" customWidth="1"/>
    <col min="13" max="13" width="12.6640625" bestFit="1" customWidth="1"/>
  </cols>
  <sheetData>
    <row r="1" spans="1:29">
      <c r="A1">
        <f ca="1">SIMUL!EZ1</f>
        <v>0</v>
      </c>
      <c r="B1" t="s">
        <v>320</v>
      </c>
      <c r="K1" s="353" t="s">
        <v>216</v>
      </c>
      <c r="L1" s="353"/>
      <c r="M1" s="369">
        <v>138.01</v>
      </c>
      <c r="N1" s="369"/>
      <c r="O1" s="84"/>
      <c r="V1" s="353" t="s">
        <v>574</v>
      </c>
      <c r="W1" s="353"/>
      <c r="X1" s="353"/>
      <c r="Y1" s="353"/>
      <c r="Z1" s="353"/>
      <c r="AA1" s="353"/>
      <c r="AB1" s="353"/>
      <c r="AC1" s="353"/>
    </row>
    <row r="2" spans="1:29">
      <c r="B2" s="4">
        <f ca="1">SIMUL!B4</f>
        <v>46143</v>
      </c>
      <c r="D2">
        <f ca="1">VLOOKUP(B2,L5:O52,4,TRUE)</f>
        <v>2.1646999999999998</v>
      </c>
      <c r="E2">
        <f ca="1">YEAR(B2)</f>
        <v>2026</v>
      </c>
      <c r="K2" s="83" t="s">
        <v>217</v>
      </c>
      <c r="L2" s="83" t="s">
        <v>218</v>
      </c>
      <c r="M2" s="369"/>
      <c r="N2" s="369"/>
      <c r="O2" s="84"/>
      <c r="V2" s="354" t="s">
        <v>575</v>
      </c>
      <c r="W2" s="353" t="s">
        <v>571</v>
      </c>
      <c r="X2" s="353"/>
      <c r="Y2" s="353"/>
      <c r="Z2" s="353" t="s">
        <v>579</v>
      </c>
      <c r="AA2" s="353"/>
      <c r="AB2" s="353"/>
    </row>
    <row r="3" spans="1:29">
      <c r="B3" s="4">
        <f ca="1">DATE(YEAR(SIMUL!B7),MONTH(SIMUL!B7),1.1)</f>
        <v>46143</v>
      </c>
      <c r="C3">
        <f ca="1">ROUNDDOWN(YEARFRAC(B3,B2,),0)</f>
        <v>0</v>
      </c>
      <c r="K3" s="370" t="s">
        <v>219</v>
      </c>
      <c r="L3" s="370" t="s">
        <v>321</v>
      </c>
      <c r="M3" s="370" t="s">
        <v>220</v>
      </c>
      <c r="N3" s="370"/>
      <c r="O3" s="84"/>
      <c r="V3" s="354"/>
      <c r="W3" t="s">
        <v>576</v>
      </c>
      <c r="X3" t="s">
        <v>279</v>
      </c>
      <c r="Y3" t="s">
        <v>577</v>
      </c>
      <c r="Z3" t="s">
        <v>576</v>
      </c>
      <c r="AA3" t="s">
        <v>279</v>
      </c>
      <c r="AB3" t="s">
        <v>577</v>
      </c>
      <c r="AC3" t="s">
        <v>578</v>
      </c>
    </row>
    <row r="4" spans="1:29">
      <c r="C4">
        <f ca="1">IF(C3&lt;31,C3,31)</f>
        <v>0</v>
      </c>
      <c r="K4" s="370"/>
      <c r="L4" s="370"/>
      <c r="M4" s="371" t="s">
        <v>221</v>
      </c>
      <c r="N4" s="371"/>
      <c r="O4" s="84"/>
      <c r="V4">
        <v>2023</v>
      </c>
      <c r="W4" s="1">
        <v>0.28860000000000002</v>
      </c>
      <c r="X4" s="1">
        <v>0.15479999999999999</v>
      </c>
      <c r="Y4" s="1">
        <v>0.36499999999999999</v>
      </c>
      <c r="Z4" s="1">
        <v>0.23619999999999999</v>
      </c>
      <c r="AA4" s="1">
        <v>5.2600000000000001E-2</v>
      </c>
      <c r="AB4" s="274">
        <v>0</v>
      </c>
      <c r="AC4" s="1">
        <v>1.5E-3</v>
      </c>
    </row>
    <row r="5" spans="1:29">
      <c r="K5" s="85">
        <v>32721</v>
      </c>
      <c r="L5" s="85">
        <v>32874</v>
      </c>
      <c r="M5" s="85" t="s">
        <v>222</v>
      </c>
      <c r="N5" s="86">
        <v>1</v>
      </c>
      <c r="O5" s="87">
        <f t="shared" ref="O5:O18" si="0">ROUND(N5,4)</f>
        <v>1</v>
      </c>
      <c r="V5">
        <v>2024</v>
      </c>
      <c r="W5" s="1">
        <f t="shared" ref="W5:X7" si="1">W4</f>
        <v>0.28860000000000002</v>
      </c>
      <c r="X5" s="1">
        <f t="shared" si="1"/>
        <v>0.15479999999999999</v>
      </c>
      <c r="Y5" s="1">
        <v>0.375</v>
      </c>
      <c r="Z5" s="1">
        <f t="shared" ref="Z5:AC7" si="2">Z4</f>
        <v>0.23619999999999999</v>
      </c>
      <c r="AA5" s="1">
        <f t="shared" si="2"/>
        <v>5.2600000000000001E-2</v>
      </c>
      <c r="AB5" s="1">
        <f t="shared" si="2"/>
        <v>0</v>
      </c>
      <c r="AC5" s="1">
        <f t="shared" si="2"/>
        <v>1.5E-3</v>
      </c>
    </row>
    <row r="6" spans="1:29">
      <c r="K6" s="85">
        <v>32905</v>
      </c>
      <c r="L6" s="85">
        <v>32905</v>
      </c>
      <c r="M6" s="85" t="s">
        <v>222</v>
      </c>
      <c r="N6" s="86">
        <v>1.02</v>
      </c>
      <c r="O6" s="87">
        <f t="shared" si="0"/>
        <v>1.02</v>
      </c>
      <c r="V6">
        <v>2025</v>
      </c>
      <c r="W6" s="1">
        <f t="shared" si="1"/>
        <v>0.28860000000000002</v>
      </c>
      <c r="X6" s="1">
        <f t="shared" si="1"/>
        <v>0.15479999999999999</v>
      </c>
      <c r="Y6" s="1">
        <f>Y5</f>
        <v>0.375</v>
      </c>
      <c r="Z6" s="1">
        <f t="shared" si="2"/>
        <v>0.23619999999999999</v>
      </c>
      <c r="AA6" s="1">
        <f t="shared" si="2"/>
        <v>5.2600000000000001E-2</v>
      </c>
      <c r="AB6" s="1">
        <f t="shared" si="2"/>
        <v>0</v>
      </c>
      <c r="AC6" s="1">
        <f t="shared" si="2"/>
        <v>1.5E-3</v>
      </c>
    </row>
    <row r="7" spans="1:29">
      <c r="K7" s="85">
        <v>33178</v>
      </c>
      <c r="L7" s="85">
        <v>33147</v>
      </c>
      <c r="M7" s="85" t="s">
        <v>222</v>
      </c>
      <c r="N7" s="86">
        <f>N6*$N$6</f>
        <v>1.0404</v>
      </c>
      <c r="O7" s="87">
        <f t="shared" si="0"/>
        <v>1.0404</v>
      </c>
      <c r="V7">
        <v>2026</v>
      </c>
      <c r="W7" s="1">
        <f t="shared" si="1"/>
        <v>0.28860000000000002</v>
      </c>
      <c r="X7" s="1">
        <f t="shared" si="1"/>
        <v>0.15479999999999999</v>
      </c>
      <c r="Y7" s="1">
        <f>Y6</f>
        <v>0.375</v>
      </c>
      <c r="Z7" s="1">
        <f t="shared" si="2"/>
        <v>0.23619999999999999</v>
      </c>
      <c r="AA7" s="1">
        <f t="shared" si="2"/>
        <v>5.2600000000000001E-2</v>
      </c>
      <c r="AB7" s="1">
        <f t="shared" si="2"/>
        <v>0</v>
      </c>
      <c r="AC7" s="1">
        <f t="shared" si="2"/>
        <v>1.5E-3</v>
      </c>
    </row>
    <row r="8" spans="1:29">
      <c r="B8" s="352" t="s">
        <v>55</v>
      </c>
      <c r="C8" s="352"/>
      <c r="D8" s="352"/>
      <c r="E8" t="e">
        <f ca="1">(IF(OR(BV!B1=Gegevenslijsten!O2,BV!B1=Gegevenslijsten!O3),Gegevenslijsten!O2,Gegevenslijsten!O4))</f>
        <v>#N/A</v>
      </c>
      <c r="K8" s="85">
        <v>33298</v>
      </c>
      <c r="L8" s="85">
        <v>33298</v>
      </c>
      <c r="M8" s="85" t="s">
        <v>222</v>
      </c>
      <c r="N8" s="86">
        <f t="shared" ref="N8:N52" si="3">N7*$N$6</f>
        <v>1.0612079999999999</v>
      </c>
      <c r="O8" s="87">
        <f t="shared" si="0"/>
        <v>1.0611999999999999</v>
      </c>
    </row>
    <row r="9" spans="1:29">
      <c r="B9" s="352" t="str">
        <f ca="1">'SIMUL SSGPI'!E53</f>
        <v/>
      </c>
      <c r="C9" s="352" t="str">
        <f ca="1">'SIMUL SSGPI'!F53</f>
        <v/>
      </c>
      <c r="D9" s="352"/>
      <c r="K9" s="85">
        <v>33573</v>
      </c>
      <c r="L9" s="85">
        <v>33573</v>
      </c>
      <c r="M9" s="85" t="s">
        <v>222</v>
      </c>
      <c r="N9" s="86">
        <f t="shared" si="3"/>
        <v>1.08243216</v>
      </c>
      <c r="O9" s="87">
        <f t="shared" si="0"/>
        <v>1.0824</v>
      </c>
    </row>
    <row r="10" spans="1:29">
      <c r="B10" s="352"/>
      <c r="C10" s="9" t="str">
        <f ca="1">'SIMUL SSGPI'!F54</f>
        <v/>
      </c>
      <c r="D10" s="9" t="str">
        <f ca="1">'SIMUL SSGPI'!G54</f>
        <v/>
      </c>
      <c r="K10" s="85">
        <v>33909</v>
      </c>
      <c r="L10" s="85">
        <v>33878</v>
      </c>
      <c r="M10" s="85" t="s">
        <v>222</v>
      </c>
      <c r="N10" s="86">
        <f t="shared" si="3"/>
        <v>1.1040808032</v>
      </c>
      <c r="O10" s="87">
        <f t="shared" si="0"/>
        <v>1.1041000000000001</v>
      </c>
    </row>
    <row r="11" spans="1:29">
      <c r="B11" s="10" t="e">
        <f ca="1">ROUND(IF('SIMUL SSGPI'!B54&lt;1945.39,0,(IF('SIMUL SSGPI'!B54&lt;2190.19,('SIMUL SSGPI'!B54-1945.38)*0.0422,(IF('SIMUL SSGPI'!B54&lt;3737.01,10.33+('SIMUL SSGPI'!B54-2190.18)*0.011,(IF('SIMUL SSGPI'!B54&lt;4100.01,27.35+('SIMUL SSGPI'!B54-3737)*0.0338,(IF('SIMUL SSGPI'!B54&lt;6038.83,39.61+('SIMUL SSGPI'!B54-4100)*0.011,60.94))))))))),2)</f>
        <v>#N/A</v>
      </c>
      <c r="C11" s="10" t="e">
        <f ca="1">ROUND(IF('SIMUL SSGPI'!B54&lt;1945.39,0,(IF('SIMUL SSGPI'!B54&lt;2190.19,('SIMUL SSGPI'!B54-1945.38)*0.059,(IF('SIMUL SSGPI'!B54&lt;6038.83,14.44+('SIMUL SSGPI'!B54-2190.18)*0.011,60.94))))),2)</f>
        <v>#N/A</v>
      </c>
      <c r="D11" s="10" t="e">
        <f ca="1">IF(AND('SIMUL SSGPI'!B54&gt;1945.38,E11&lt;5.15),5.15,(IF(E11&gt;51.64,51.64,E11)))</f>
        <v>#N/A</v>
      </c>
      <c r="E11" t="e">
        <f ca="1">ROUND(IF('SIMUL SSGPI'!B54&lt;1095.1,0,(IF('SIMUL SSGPI'!B54&lt;1945.39,5.15,(IF('SIMUL SSGPI'!B54&lt;2190.19,('SIMUL SSGPI'!B54-1945.38)*0.059,(IF('SIMUL SSGPI'!B54&lt;6038.83,14.44+('SIMUL SSGPI'!B54-2190.18)*0.011,60.94))))))),2)</f>
        <v>#N/A</v>
      </c>
      <c r="K11" s="85">
        <v>34151</v>
      </c>
      <c r="L11" s="85">
        <v>34151</v>
      </c>
      <c r="M11" s="85" t="s">
        <v>222</v>
      </c>
      <c r="N11" s="86">
        <f t="shared" si="3"/>
        <v>1.1261624192640001</v>
      </c>
      <c r="O11" s="87">
        <f t="shared" si="0"/>
        <v>1.1262000000000001</v>
      </c>
    </row>
    <row r="12" spans="1:29">
      <c r="K12" s="85">
        <v>34669</v>
      </c>
      <c r="L12" s="85">
        <v>34639</v>
      </c>
      <c r="M12" s="85" t="s">
        <v>222</v>
      </c>
      <c r="N12" s="86">
        <f t="shared" si="3"/>
        <v>1.14868566764928</v>
      </c>
      <c r="O12" s="87">
        <f t="shared" si="0"/>
        <v>1.1487000000000001</v>
      </c>
    </row>
    <row r="13" spans="1:29">
      <c r="K13" s="85">
        <v>35186</v>
      </c>
      <c r="L13" s="85">
        <v>35186</v>
      </c>
      <c r="M13" s="85" t="s">
        <v>222</v>
      </c>
      <c r="N13" s="86">
        <f t="shared" si="3"/>
        <v>1.1716593810022657</v>
      </c>
      <c r="O13" s="87">
        <f t="shared" si="0"/>
        <v>1.1717</v>
      </c>
    </row>
    <row r="14" spans="1:29">
      <c r="B14" s="11" t="str">
        <f ca="1">IF($A$1="","",(IF($A$1="Nederlands","Haardtoelage",(IF($A$1="Français","Allocation de foyer","")))))</f>
        <v/>
      </c>
      <c r="C14" s="11"/>
      <c r="D14" s="12" t="e">
        <f ca="1">IF(SIMUL!$B$8&lt;16100.01,720,(IF(SIMUL!$B$8&lt;16489.19,((16489.18-SIMUL!$B$8)*0.925)+360,(IF(SIMUL!$B$8&lt;18330.01,360,(IF(SIMUL!$B$8&lt;18719.19,(18719.18-SIMUL!$B$8)*0.925,0)))))))</f>
        <v>#N/A</v>
      </c>
      <c r="E14" s="12" t="e">
        <f ca="1">IF(SIMUL!$B$8&lt;16100.01,720,(IF(SIMUL!$B$8&lt;16460,(16460-SIMUL!$B$8)+360,(IF(SIMUL!$B$8&lt;18330.01,360,(IF(SIMUL!$B$8&lt;18690,(18690-SIMUL!$B$8),0)))))))</f>
        <v>#N/A</v>
      </c>
      <c r="K14" s="85">
        <v>35704</v>
      </c>
      <c r="L14" s="85">
        <v>35704</v>
      </c>
      <c r="M14" s="85" t="s">
        <v>222</v>
      </c>
      <c r="N14" s="86">
        <f t="shared" si="3"/>
        <v>1.1950925686223111</v>
      </c>
      <c r="O14" s="87">
        <f t="shared" si="0"/>
        <v>1.1951000000000001</v>
      </c>
    </row>
    <row r="15" spans="1:29">
      <c r="B15" s="11" t="str">
        <f ca="1">IF($A$1="","",(IF($A$1="Nederlands","Standplaatstoelage",(IF($A$1="Français","Allocation de résidence","")))))</f>
        <v/>
      </c>
      <c r="C15" s="11"/>
      <c r="D15" s="12" t="e">
        <f ca="1">IF(SIMUL!$B$8&lt;16100.01,360,(IF(SIMUL!$B$8&lt;16294.6,((16294.59-SIMUL!$B$8)*0.925)+180,(IF(SIMUL!$B$8&lt;18330.01,180,(IF(SIMUL!$B$8&lt;18524.6,(18524.59-SIMUL!$B$8)*0.925,0)))))))</f>
        <v>#N/A</v>
      </c>
      <c r="E15" s="12" t="e">
        <f ca="1">IF(SIMUL!$B$8&lt;16100.01,360,(IF(SIMUL!$B$8&lt;16280.01,((16280-SIMUL!$B$8))+180,(IF(SIMUL!$B$8&lt;18330.01,180,(IF(SIMUL!$B$8&lt;18510.01,(18510-SIMUL!$B$8),0)))))))</f>
        <v>#N/A</v>
      </c>
      <c r="K15" s="85">
        <v>36312</v>
      </c>
      <c r="L15" s="85">
        <v>36312</v>
      </c>
      <c r="M15" s="85" t="s">
        <v>222</v>
      </c>
      <c r="N15" s="86">
        <f t="shared" si="3"/>
        <v>1.2189944199947573</v>
      </c>
      <c r="O15" s="87">
        <f t="shared" si="0"/>
        <v>1.2190000000000001</v>
      </c>
    </row>
    <row r="16" spans="1:29">
      <c r="K16" s="85">
        <v>36770</v>
      </c>
      <c r="L16" s="85">
        <v>36770</v>
      </c>
      <c r="M16" s="85" t="s">
        <v>222</v>
      </c>
      <c r="N16" s="86">
        <f t="shared" si="3"/>
        <v>1.2433743083946525</v>
      </c>
      <c r="O16" s="87">
        <f t="shared" si="0"/>
        <v>1.2434000000000001</v>
      </c>
    </row>
    <row r="17" spans="2:19">
      <c r="B17" t="e">
        <f ca="1">ROUND(IF(SIMUL!B5="statutair",VLOOKUP(SIMUL!B9,BBSZ!B14:E15,3),VLOOKUP(SIMUL!B9,BBSZ!B14:E15,4)),2)</f>
        <v>#N/A</v>
      </c>
      <c r="K17" s="85">
        <v>37043</v>
      </c>
      <c r="L17" s="85">
        <v>37073</v>
      </c>
      <c r="M17" s="85" t="s">
        <v>222</v>
      </c>
      <c r="N17" s="86">
        <f t="shared" si="3"/>
        <v>1.2682417945625455</v>
      </c>
      <c r="O17" s="87">
        <f t="shared" si="0"/>
        <v>1.2682</v>
      </c>
    </row>
    <row r="18" spans="2:19">
      <c r="K18" s="88">
        <v>37288</v>
      </c>
      <c r="L18" s="88">
        <v>37316</v>
      </c>
      <c r="M18" s="88" t="s">
        <v>222</v>
      </c>
      <c r="N18" s="86">
        <f t="shared" si="3"/>
        <v>1.2936066304537963</v>
      </c>
      <c r="O18" s="87">
        <f t="shared" si="0"/>
        <v>1.2936000000000001</v>
      </c>
      <c r="P18" s="372" t="s">
        <v>322</v>
      </c>
      <c r="Q18" s="372"/>
      <c r="R18" s="372"/>
      <c r="S18" s="372"/>
    </row>
    <row r="19" spans="2:19">
      <c r="K19" s="85">
        <v>37773</v>
      </c>
      <c r="L19" s="85">
        <v>37803</v>
      </c>
      <c r="M19" s="85" t="s">
        <v>222</v>
      </c>
      <c r="N19" s="86">
        <f t="shared" si="3"/>
        <v>1.3194787630628724</v>
      </c>
      <c r="O19" s="87">
        <f>ROUND(N19,4)</f>
        <v>1.3194999999999999</v>
      </c>
      <c r="P19" s="89"/>
      <c r="Q19" s="89"/>
      <c r="R19" s="89"/>
    </row>
    <row r="20" spans="2:19">
      <c r="B20">
        <f>IF(SIMUL!B60="ja",122.71,0)</f>
        <v>0</v>
      </c>
      <c r="K20" s="85">
        <v>38261</v>
      </c>
      <c r="L20" s="85">
        <v>38292</v>
      </c>
      <c r="M20" s="85" t="s">
        <v>222</v>
      </c>
      <c r="N20" s="86">
        <f t="shared" si="3"/>
        <v>1.3458683383241299</v>
      </c>
      <c r="O20" s="87">
        <f t="shared" ref="O20:O52" si="4">ROUND(N20,4)</f>
        <v>1.3459000000000001</v>
      </c>
    </row>
    <row r="21" spans="2:19">
      <c r="K21" s="85">
        <v>38565</v>
      </c>
      <c r="L21" s="85">
        <v>38596</v>
      </c>
      <c r="M21" s="85" t="s">
        <v>222</v>
      </c>
      <c r="N21" s="86">
        <f t="shared" si="3"/>
        <v>1.3727857050906125</v>
      </c>
      <c r="O21" s="87">
        <f t="shared" si="4"/>
        <v>1.3728</v>
      </c>
    </row>
    <row r="22" spans="2:19">
      <c r="K22" s="85">
        <v>38991</v>
      </c>
      <c r="L22" s="85">
        <v>39022</v>
      </c>
      <c r="M22" s="85" t="s">
        <v>222</v>
      </c>
      <c r="N22" s="86">
        <f t="shared" si="3"/>
        <v>1.4002414191924248</v>
      </c>
      <c r="O22" s="87">
        <f t="shared" si="4"/>
        <v>1.4001999999999999</v>
      </c>
    </row>
    <row r="23" spans="2:19">
      <c r="K23" s="85">
        <v>39448</v>
      </c>
      <c r="L23" s="85">
        <v>39479</v>
      </c>
      <c r="M23" s="85" t="s">
        <v>222</v>
      </c>
      <c r="N23" s="86">
        <f t="shared" si="3"/>
        <v>1.4282462475762734</v>
      </c>
      <c r="O23" s="87">
        <f t="shared" si="4"/>
        <v>1.4281999999999999</v>
      </c>
    </row>
    <row r="24" spans="2:19">
      <c r="K24" s="85">
        <v>39569</v>
      </c>
      <c r="L24" s="85">
        <v>39600</v>
      </c>
      <c r="M24" s="85" t="s">
        <v>222</v>
      </c>
      <c r="N24" s="86">
        <f t="shared" si="3"/>
        <v>1.4568111725277988</v>
      </c>
      <c r="O24" s="87">
        <f t="shared" si="4"/>
        <v>1.4568000000000001</v>
      </c>
    </row>
    <row r="25" spans="2:19">
      <c r="K25" s="85">
        <v>39692</v>
      </c>
      <c r="L25" s="85">
        <v>39722</v>
      </c>
      <c r="M25" s="85" t="s">
        <v>222</v>
      </c>
      <c r="N25" s="86">
        <f t="shared" si="3"/>
        <v>1.4859473959783549</v>
      </c>
      <c r="O25" s="87">
        <f t="shared" si="4"/>
        <v>1.4859</v>
      </c>
    </row>
    <row r="26" spans="2:19">
      <c r="K26" s="85">
        <v>40422</v>
      </c>
      <c r="L26" s="85">
        <v>40452</v>
      </c>
      <c r="M26" s="85" t="s">
        <v>222</v>
      </c>
      <c r="N26" s="86">
        <f t="shared" si="3"/>
        <v>1.5156663438979221</v>
      </c>
      <c r="O26" s="87">
        <f t="shared" si="4"/>
        <v>1.5157</v>
      </c>
    </row>
    <row r="27" spans="2:19">
      <c r="K27" s="85">
        <v>40664</v>
      </c>
      <c r="L27" s="85">
        <v>40695</v>
      </c>
      <c r="M27" s="85" t="s">
        <v>222</v>
      </c>
      <c r="N27" s="86">
        <f t="shared" si="3"/>
        <v>1.5459796707758806</v>
      </c>
      <c r="O27" s="87">
        <f t="shared" si="4"/>
        <v>1.546</v>
      </c>
    </row>
    <row r="28" spans="2:19">
      <c r="K28" s="85">
        <v>40940</v>
      </c>
      <c r="L28" s="85">
        <v>40969</v>
      </c>
      <c r="M28" s="85" t="s">
        <v>222</v>
      </c>
      <c r="N28" s="86">
        <f t="shared" si="3"/>
        <v>1.5768992641913981</v>
      </c>
      <c r="O28" s="87">
        <f t="shared" si="4"/>
        <v>1.5769</v>
      </c>
    </row>
    <row r="29" spans="2:19">
      <c r="K29" s="85">
        <v>41244</v>
      </c>
      <c r="L29" s="85">
        <v>41275</v>
      </c>
      <c r="M29" s="85" t="s">
        <v>222</v>
      </c>
      <c r="N29" s="86">
        <f t="shared" si="3"/>
        <v>1.6084372494752261</v>
      </c>
      <c r="O29" s="87">
        <f t="shared" si="4"/>
        <v>1.6084000000000001</v>
      </c>
    </row>
    <row r="30" spans="2:19">
      <c r="K30" s="85">
        <v>42522</v>
      </c>
      <c r="L30" s="85">
        <v>42552</v>
      </c>
      <c r="M30" s="85" t="s">
        <v>222</v>
      </c>
      <c r="N30" s="86">
        <f t="shared" si="3"/>
        <v>1.6406059944647307</v>
      </c>
      <c r="O30" s="87">
        <f t="shared" si="4"/>
        <v>1.6406000000000001</v>
      </c>
    </row>
    <row r="31" spans="2:19">
      <c r="K31" s="85">
        <v>42887</v>
      </c>
      <c r="L31" s="85">
        <v>42917</v>
      </c>
      <c r="M31" s="85" t="s">
        <v>222</v>
      </c>
      <c r="N31" s="86">
        <f t="shared" si="3"/>
        <v>1.6734181143540252</v>
      </c>
      <c r="O31" s="87">
        <f t="shared" si="4"/>
        <v>1.6734</v>
      </c>
    </row>
    <row r="32" spans="2:19">
      <c r="K32" s="85">
        <v>43344</v>
      </c>
      <c r="L32" s="85">
        <v>43374</v>
      </c>
      <c r="M32" s="85" t="s">
        <v>222</v>
      </c>
      <c r="N32" s="86">
        <f t="shared" si="3"/>
        <v>1.7068864766411058</v>
      </c>
      <c r="O32" s="87">
        <f t="shared" si="4"/>
        <v>1.7069000000000001</v>
      </c>
    </row>
    <row r="33" spans="1:15">
      <c r="K33" s="85">
        <v>43891</v>
      </c>
      <c r="L33" s="85">
        <v>43922</v>
      </c>
      <c r="M33" s="85" t="s">
        <v>222</v>
      </c>
      <c r="N33" s="86">
        <f t="shared" si="3"/>
        <v>1.7410242061739281</v>
      </c>
      <c r="O33" s="87">
        <f t="shared" si="4"/>
        <v>1.7410000000000001</v>
      </c>
    </row>
    <row r="34" spans="1:15">
      <c r="K34" s="85">
        <v>44440</v>
      </c>
      <c r="L34" s="85">
        <v>44470</v>
      </c>
      <c r="M34" s="85" t="s">
        <v>222</v>
      </c>
      <c r="N34" s="86">
        <f t="shared" si="3"/>
        <v>1.7758446902974065</v>
      </c>
      <c r="O34" s="87">
        <f t="shared" si="4"/>
        <v>1.7758</v>
      </c>
    </row>
    <row r="35" spans="1:15">
      <c r="K35" s="85">
        <v>44562</v>
      </c>
      <c r="L35" s="85">
        <v>44593</v>
      </c>
      <c r="M35" s="85" t="s">
        <v>222</v>
      </c>
      <c r="N35" s="86">
        <f t="shared" si="3"/>
        <v>1.8113615841033548</v>
      </c>
      <c r="O35" s="87">
        <f t="shared" si="4"/>
        <v>1.8113999999999999</v>
      </c>
    </row>
    <row r="36" spans="1:15">
      <c r="K36" s="85">
        <v>44621</v>
      </c>
      <c r="L36" s="85">
        <v>44652</v>
      </c>
      <c r="M36" s="85" t="s">
        <v>222</v>
      </c>
      <c r="N36" s="86">
        <f t="shared" si="3"/>
        <v>1.8475888157854219</v>
      </c>
      <c r="O36" s="87">
        <f t="shared" si="4"/>
        <v>1.8475999999999999</v>
      </c>
    </row>
    <row r="37" spans="1:15">
      <c r="K37" s="85">
        <v>44682</v>
      </c>
      <c r="L37" s="85">
        <v>44713</v>
      </c>
      <c r="M37" s="85" t="s">
        <v>222</v>
      </c>
      <c r="N37" s="86">
        <f t="shared" si="3"/>
        <v>1.8845405921011305</v>
      </c>
      <c r="O37" s="87">
        <f t="shared" si="4"/>
        <v>1.8845000000000001</v>
      </c>
    </row>
    <row r="38" spans="1:15">
      <c r="K38" s="85">
        <v>44774</v>
      </c>
      <c r="L38" s="85">
        <v>44805</v>
      </c>
      <c r="M38" s="85" t="s">
        <v>222</v>
      </c>
      <c r="N38" s="86">
        <f t="shared" si="3"/>
        <v>1.9222314039431532</v>
      </c>
      <c r="O38" s="87">
        <f t="shared" si="4"/>
        <v>1.9221999999999999</v>
      </c>
    </row>
    <row r="39" spans="1:15">
      <c r="A39" t="s">
        <v>367</v>
      </c>
      <c r="K39" s="90">
        <v>44866</v>
      </c>
      <c r="L39" s="90">
        <v>44896</v>
      </c>
      <c r="M39" s="85" t="s">
        <v>222</v>
      </c>
      <c r="N39" s="86">
        <f t="shared" si="3"/>
        <v>1.9606760320220162</v>
      </c>
      <c r="O39" s="87">
        <f t="shared" si="4"/>
        <v>1.9607000000000001</v>
      </c>
    </row>
    <row r="40" spans="1:15">
      <c r="A40" t="s">
        <v>368</v>
      </c>
      <c r="B40">
        <f>20</f>
        <v>20</v>
      </c>
      <c r="K40" s="90">
        <v>44896</v>
      </c>
      <c r="L40" s="90">
        <v>44927</v>
      </c>
      <c r="M40" s="85" t="s">
        <v>222</v>
      </c>
      <c r="N40" s="86">
        <f t="shared" si="3"/>
        <v>1.9998895526624565</v>
      </c>
      <c r="O40" s="87">
        <f t="shared" si="4"/>
        <v>1.9999</v>
      </c>
    </row>
    <row r="41" spans="1:15">
      <c r="A41" t="s">
        <v>369</v>
      </c>
      <c r="B41">
        <f ca="1">16.89*index</f>
        <v>36.561782999999998</v>
      </c>
      <c r="K41" s="90">
        <v>45231</v>
      </c>
      <c r="L41" s="90">
        <v>45261</v>
      </c>
      <c r="M41" s="85" t="s">
        <v>222</v>
      </c>
      <c r="N41" s="86">
        <f t="shared" si="3"/>
        <v>2.0398873437157055</v>
      </c>
      <c r="O41" s="87">
        <f t="shared" si="4"/>
        <v>2.0398999999999998</v>
      </c>
    </row>
    <row r="42" spans="1:15">
      <c r="B42">
        <f ca="1">ROUND(B40+B41,2)</f>
        <v>56.56</v>
      </c>
      <c r="K42" s="90">
        <v>45413</v>
      </c>
      <c r="L42" s="90">
        <v>45444</v>
      </c>
      <c r="M42" s="85" t="s">
        <v>222</v>
      </c>
      <c r="N42" s="86">
        <f t="shared" si="3"/>
        <v>2.0806850905900198</v>
      </c>
      <c r="O42" s="87">
        <f>ROUND(N42,4)</f>
        <v>2.0807000000000002</v>
      </c>
    </row>
    <row r="43" spans="1:15">
      <c r="K43" s="85">
        <v>45689</v>
      </c>
      <c r="L43" s="85">
        <v>45717</v>
      </c>
      <c r="M43" s="85" t="s">
        <v>222</v>
      </c>
      <c r="N43" s="86">
        <f t="shared" si="3"/>
        <v>2.1222987924018204</v>
      </c>
      <c r="O43" s="87">
        <f t="shared" si="4"/>
        <v>2.1223000000000001</v>
      </c>
    </row>
    <row r="44" spans="1:15">
      <c r="K44" s="85">
        <v>46082</v>
      </c>
      <c r="L44" s="85">
        <v>46082</v>
      </c>
      <c r="M44" s="85" t="s">
        <v>222</v>
      </c>
      <c r="N44" s="86">
        <f t="shared" si="3"/>
        <v>2.1647447682498568</v>
      </c>
      <c r="O44" s="87">
        <f t="shared" si="4"/>
        <v>2.1646999999999998</v>
      </c>
    </row>
    <row r="45" spans="1:15">
      <c r="K45" s="83"/>
      <c r="L45" s="83"/>
      <c r="M45" s="85" t="s">
        <v>222</v>
      </c>
      <c r="N45" s="86">
        <f t="shared" si="3"/>
        <v>2.208039663614854</v>
      </c>
      <c r="O45" s="87">
        <f t="shared" si="4"/>
        <v>2.2080000000000002</v>
      </c>
    </row>
    <row r="46" spans="1:15">
      <c r="K46" s="83"/>
      <c r="L46" s="83"/>
      <c r="M46" s="85" t="s">
        <v>222</v>
      </c>
      <c r="N46" s="86">
        <f t="shared" si="3"/>
        <v>2.252200456887151</v>
      </c>
      <c r="O46" s="87">
        <f t="shared" si="4"/>
        <v>2.2522000000000002</v>
      </c>
    </row>
    <row r="47" spans="1:15">
      <c r="K47" s="83"/>
      <c r="L47" s="83"/>
      <c r="M47" s="85" t="s">
        <v>222</v>
      </c>
      <c r="N47" s="86">
        <f t="shared" si="3"/>
        <v>2.2972444660248938</v>
      </c>
      <c r="O47" s="87">
        <f t="shared" si="4"/>
        <v>2.2972000000000001</v>
      </c>
    </row>
    <row r="48" spans="1:15">
      <c r="K48" s="83"/>
      <c r="L48" s="83"/>
      <c r="M48" s="85" t="s">
        <v>222</v>
      </c>
      <c r="N48" s="86">
        <f t="shared" si="3"/>
        <v>2.343189355345392</v>
      </c>
      <c r="O48" s="87">
        <f t="shared" si="4"/>
        <v>2.3431999999999999</v>
      </c>
    </row>
    <row r="49" spans="1:15">
      <c r="K49" s="83"/>
      <c r="L49" s="83"/>
      <c r="M49" s="85" t="s">
        <v>222</v>
      </c>
      <c r="N49" s="86">
        <f t="shared" si="3"/>
        <v>2.3900531424522997</v>
      </c>
      <c r="O49" s="87">
        <f t="shared" si="4"/>
        <v>2.3900999999999999</v>
      </c>
    </row>
    <row r="50" spans="1:15">
      <c r="K50" s="83"/>
      <c r="L50" s="83"/>
      <c r="M50" s="85" t="s">
        <v>222</v>
      </c>
      <c r="N50" s="86">
        <f t="shared" si="3"/>
        <v>2.4378542053013459</v>
      </c>
      <c r="O50" s="87">
        <f t="shared" si="4"/>
        <v>2.4379</v>
      </c>
    </row>
    <row r="51" spans="1:15">
      <c r="K51" s="83"/>
      <c r="L51" s="83"/>
      <c r="M51" s="85" t="s">
        <v>222</v>
      </c>
      <c r="N51" s="86">
        <f t="shared" si="3"/>
        <v>2.4866112894073726</v>
      </c>
      <c r="O51" s="87">
        <f t="shared" si="4"/>
        <v>2.4866000000000001</v>
      </c>
    </row>
    <row r="52" spans="1:15">
      <c r="K52" s="83"/>
      <c r="L52" s="83"/>
      <c r="M52" s="85" t="s">
        <v>222</v>
      </c>
      <c r="N52" s="86">
        <f t="shared" si="3"/>
        <v>2.53634351519552</v>
      </c>
      <c r="O52" s="87">
        <f t="shared" si="4"/>
        <v>2.5363000000000002</v>
      </c>
    </row>
    <row r="60" spans="1:15">
      <c r="A60" t="s">
        <v>336</v>
      </c>
    </row>
    <row r="61" spans="1:15">
      <c r="A61" s="170"/>
      <c r="B61" s="321" t="s">
        <v>339</v>
      </c>
      <c r="C61" s="323"/>
      <c r="D61" s="321" t="s">
        <v>340</v>
      </c>
      <c r="E61" s="323"/>
      <c r="G61" s="171"/>
    </row>
    <row r="62" spans="1:15">
      <c r="A62" s="170" t="s">
        <v>341</v>
      </c>
      <c r="B62" s="365"/>
      <c r="C62" s="365"/>
      <c r="D62" s="365"/>
      <c r="E62" s="365"/>
      <c r="F62" t="e">
        <f ca="1">Gegevenslijsten!C103</f>
        <v>#N/A</v>
      </c>
      <c r="G62" s="367" t="s">
        <v>342</v>
      </c>
      <c r="H62" s="368"/>
    </row>
    <row r="63" spans="1:15">
      <c r="A63" s="357" t="s">
        <v>343</v>
      </c>
      <c r="B63" s="358"/>
      <c r="C63" s="364">
        <f>SIMUL!F52</f>
        <v>0</v>
      </c>
      <c r="D63" s="365"/>
      <c r="E63" s="365"/>
      <c r="F63" t="e">
        <f ca="1">Gegevenslijsten!D103</f>
        <v>#N/A</v>
      </c>
      <c r="G63" s="362">
        <v>1600</v>
      </c>
      <c r="H63" s="363"/>
    </row>
    <row r="64" spans="1:15">
      <c r="A64" s="357" t="s">
        <v>344</v>
      </c>
      <c r="B64" s="358"/>
      <c r="C64" s="364">
        <f>SIMUL!F53</f>
        <v>0</v>
      </c>
      <c r="D64" s="365"/>
      <c r="E64" s="170" t="s">
        <v>345</v>
      </c>
      <c r="F64" t="e">
        <f ca="1">ROUND(IF((AND(F62=1,C64&gt;50)),C64*2.5,C64),0)</f>
        <v>#N/A</v>
      </c>
      <c r="G64" s="366" t="e">
        <f ca="1">5.5+((F64-C65)*0.1)</f>
        <v>#N/A</v>
      </c>
      <c r="H64" s="366"/>
    </row>
    <row r="65" spans="1:8">
      <c r="A65" s="357" t="s">
        <v>346</v>
      </c>
      <c r="B65" s="358"/>
      <c r="C65" s="359" t="e">
        <f ca="1">IF(F63=1,65,78)</f>
        <v>#N/A</v>
      </c>
      <c r="D65" s="359"/>
      <c r="E65" s="170" t="s">
        <v>345</v>
      </c>
      <c r="G65" s="360" t="s">
        <v>347</v>
      </c>
      <c r="H65" s="361"/>
    </row>
    <row r="66" spans="1:8">
      <c r="A66" s="357" t="s">
        <v>348</v>
      </c>
      <c r="B66" s="358"/>
      <c r="C66" s="359" t="e">
        <f ca="1">IF(G64&lt;4,4,IF(G64&gt;18,18,G64))</f>
        <v>#N/A</v>
      </c>
      <c r="D66" s="359"/>
      <c r="E66" s="170" t="s">
        <v>349</v>
      </c>
      <c r="G66" s="362">
        <f>40.8*12</f>
        <v>489.59999999999997</v>
      </c>
      <c r="H66" s="363"/>
    </row>
    <row r="67" spans="1:8">
      <c r="G67" s="174" t="s">
        <v>350</v>
      </c>
      <c r="H67" s="175">
        <v>44927</v>
      </c>
    </row>
    <row r="68" spans="1:8">
      <c r="A68" s="356"/>
      <c r="B68" s="356"/>
      <c r="C68" s="356"/>
      <c r="D68" s="356"/>
      <c r="E68" s="356"/>
      <c r="G68" s="174" t="s">
        <v>351</v>
      </c>
      <c r="H68" s="172" t="s">
        <v>333</v>
      </c>
    </row>
    <row r="69" spans="1:8">
      <c r="A69" s="356" t="s">
        <v>352</v>
      </c>
      <c r="B69" s="356"/>
      <c r="C69" s="356"/>
      <c r="D69" s="356"/>
      <c r="E69" s="176">
        <f>SIMUL!F54</f>
        <v>0</v>
      </c>
      <c r="G69" s="171"/>
      <c r="H69" s="171"/>
    </row>
    <row r="70" spans="1:8">
      <c r="G70" s="171"/>
    </row>
    <row r="71" spans="1:8">
      <c r="A71" s="356" t="s">
        <v>353</v>
      </c>
      <c r="B71" s="356"/>
      <c r="C71" s="356"/>
      <c r="D71" s="356"/>
      <c r="E71" s="177">
        <f>SIMUL!F55</f>
        <v>0</v>
      </c>
      <c r="F71" s="4">
        <f>DATE(YEAR(E71),MONTH(E71),1)</f>
        <v>1</v>
      </c>
      <c r="G71" s="4">
        <f ca="1">SIMUL!B4</f>
        <v>46143</v>
      </c>
      <c r="H71">
        <f ca="1">ROUNDDOWN(YEARFRAC(E71,G71,),0)</f>
        <v>126</v>
      </c>
    </row>
    <row r="72" spans="1:8">
      <c r="G72" s="171"/>
    </row>
    <row r="73" spans="1:8" ht="20.399999999999999">
      <c r="A73" s="355" t="s">
        <v>354</v>
      </c>
      <c r="B73" s="355"/>
      <c r="C73" s="355"/>
      <c r="D73" s="355"/>
      <c r="E73" s="355"/>
      <c r="F73" s="355"/>
      <c r="G73" s="355"/>
      <c r="H73" s="355"/>
    </row>
    <row r="74" spans="1:8">
      <c r="A74" s="178"/>
      <c r="B74" s="179">
        <f>H67</f>
        <v>44927</v>
      </c>
      <c r="C74" s="180"/>
      <c r="D74" s="179"/>
      <c r="E74" s="180"/>
      <c r="F74" s="179"/>
      <c r="G74" s="180"/>
      <c r="H74" s="179"/>
    </row>
    <row r="75" spans="1:8">
      <c r="A75" s="170" t="s">
        <v>355</v>
      </c>
      <c r="B75" s="27">
        <f>E69</f>
        <v>0</v>
      </c>
      <c r="C75" s="170"/>
      <c r="D75" s="27"/>
      <c r="E75" s="170"/>
      <c r="F75" s="27"/>
      <c r="G75" s="170"/>
      <c r="H75" s="27"/>
    </row>
    <row r="76" spans="1:8">
      <c r="A76" s="174" t="s">
        <v>356</v>
      </c>
      <c r="B76" s="27" t="e">
        <f ca="1">C66</f>
        <v>#N/A</v>
      </c>
      <c r="C76" s="174"/>
      <c r="D76" s="27"/>
      <c r="E76" s="174"/>
      <c r="F76" s="27"/>
      <c r="G76" s="174"/>
      <c r="H76" s="27"/>
    </row>
    <row r="77" spans="1:8">
      <c r="A77" s="174" t="s">
        <v>357</v>
      </c>
      <c r="B77" s="173">
        <v>1</v>
      </c>
      <c r="C77" s="174"/>
      <c r="D77" s="173"/>
      <c r="E77" s="174"/>
      <c r="F77" s="173"/>
      <c r="G77" s="174"/>
      <c r="H77" s="173"/>
    </row>
    <row r="78" spans="1:8">
      <c r="A78" s="174" t="s">
        <v>358</v>
      </c>
      <c r="B78" s="173">
        <v>12</v>
      </c>
      <c r="C78" s="174"/>
      <c r="D78" s="173"/>
      <c r="E78" s="174"/>
      <c r="F78" s="173"/>
      <c r="G78" s="174"/>
      <c r="H78" s="173"/>
    </row>
    <row r="79" spans="1:8">
      <c r="A79" s="174" t="s">
        <v>359</v>
      </c>
      <c r="B79" s="181">
        <f ca="1">H71</f>
        <v>126</v>
      </c>
      <c r="C79" s="174"/>
      <c r="D79" s="181"/>
      <c r="E79" s="174"/>
      <c r="F79" s="181"/>
      <c r="G79" s="174"/>
      <c r="H79" s="182"/>
    </row>
    <row r="80" spans="1:8">
      <c r="A80" s="174" t="s">
        <v>360</v>
      </c>
      <c r="B80" s="27">
        <f ca="1">IF(B79=0,100,IF(B79=1,94,IF(B79=2,88,IF(B79=3,82,IF(B79=4,76,70)))))</f>
        <v>70</v>
      </c>
      <c r="C80" s="174"/>
      <c r="D80" s="27"/>
      <c r="E80" s="174"/>
      <c r="F80" s="27"/>
      <c r="G80" s="174"/>
      <c r="H80" s="27"/>
    </row>
    <row r="81" spans="1:8">
      <c r="A81" s="183" t="s">
        <v>361</v>
      </c>
      <c r="B81" s="184" t="e">
        <f ca="1">(IF(((B75*B76/100)*(B80/100)*(6/7))&lt;G63,G63,((B75*B76/100)*(B80/100)*(6/7))))</f>
        <v>#N/A</v>
      </c>
      <c r="C81" s="183"/>
      <c r="D81" s="184"/>
      <c r="E81" s="183"/>
      <c r="F81" s="184"/>
      <c r="G81" s="183"/>
      <c r="H81" s="184"/>
    </row>
    <row r="82" spans="1:8">
      <c r="A82" s="185" t="s">
        <v>362</v>
      </c>
      <c r="B82" s="184" t="e">
        <f ca="1">B81*(B77/B78)</f>
        <v>#N/A</v>
      </c>
      <c r="C82" s="185"/>
      <c r="D82" s="184"/>
      <c r="E82" s="185"/>
      <c r="F82" s="184"/>
      <c r="G82" s="185"/>
      <c r="H82" s="184"/>
    </row>
    <row r="83" spans="1:8">
      <c r="A83" s="174" t="s">
        <v>363</v>
      </c>
      <c r="B83" s="186"/>
      <c r="C83" s="174"/>
      <c r="D83" s="187"/>
      <c r="E83" s="174"/>
      <c r="F83" s="187"/>
      <c r="G83" s="174"/>
      <c r="H83" s="187"/>
    </row>
    <row r="84" spans="1:8">
      <c r="A84" s="185" t="s">
        <v>364</v>
      </c>
      <c r="B84" s="184">
        <f>B83*12*B77/B78</f>
        <v>0</v>
      </c>
      <c r="C84" s="185"/>
      <c r="D84" s="184"/>
      <c r="E84" s="185"/>
      <c r="F84" s="184"/>
      <c r="G84" s="185"/>
      <c r="H84" s="184"/>
    </row>
    <row r="85" spans="1:8">
      <c r="A85" s="174" t="s">
        <v>365</v>
      </c>
      <c r="B85" s="184" t="e">
        <f ca="1">ROUND(IF(B82-B84-B86&lt;0,0,B82-B84-B86),2)</f>
        <v>#N/A</v>
      </c>
      <c r="C85" s="174"/>
      <c r="D85" s="184"/>
      <c r="E85" s="174"/>
      <c r="F85" s="184"/>
      <c r="G85" s="174"/>
      <c r="H85" s="184"/>
    </row>
    <row r="86" spans="1:8">
      <c r="A86" s="174" t="s">
        <v>366</v>
      </c>
      <c r="B86" s="184">
        <f>G66/12</f>
        <v>40.799999999999997</v>
      </c>
      <c r="C86" s="174"/>
      <c r="D86" s="184"/>
      <c r="E86" s="174"/>
      <c r="F86" s="184"/>
      <c r="G86" s="174"/>
      <c r="H86" s="184"/>
    </row>
  </sheetData>
  <sheetProtection algorithmName="SHA-512" hashValue="P/mHGx8196BX5b4HzounpNqSQ1ZjI/dbtWP4XdfOEEtnG/3skBDeLYcxvlm2ZUqSbqsPD3jZ1pqnixm7funO2Q==" saltValue="lM8X293ArI/YrAP1qScRyw==" spinCount="100000" sheet="1" objects="1" scenarios="1"/>
  <mergeCells count="35">
    <mergeCell ref="W2:Y2"/>
    <mergeCell ref="Z2:AB2"/>
    <mergeCell ref="V2:V3"/>
    <mergeCell ref="V1:AC1"/>
    <mergeCell ref="P18:S18"/>
    <mergeCell ref="B8:D8"/>
    <mergeCell ref="B9:B10"/>
    <mergeCell ref="C9:D9"/>
    <mergeCell ref="K1:L1"/>
    <mergeCell ref="M1:N2"/>
    <mergeCell ref="K3:K4"/>
    <mergeCell ref="L3:L4"/>
    <mergeCell ref="M3:N3"/>
    <mergeCell ref="M4:N4"/>
    <mergeCell ref="B61:C61"/>
    <mergeCell ref="D61:E61"/>
    <mergeCell ref="B62:C62"/>
    <mergeCell ref="D62:E62"/>
    <mergeCell ref="G62:H62"/>
    <mergeCell ref="A63:B63"/>
    <mergeCell ref="C63:E63"/>
    <mergeCell ref="G63:H63"/>
    <mergeCell ref="A64:B64"/>
    <mergeCell ref="C64:D64"/>
    <mergeCell ref="G64:H64"/>
    <mergeCell ref="A73:H73"/>
    <mergeCell ref="A68:E68"/>
    <mergeCell ref="A69:D69"/>
    <mergeCell ref="A71:D71"/>
    <mergeCell ref="A65:B65"/>
    <mergeCell ref="C65:D65"/>
    <mergeCell ref="G65:H65"/>
    <mergeCell ref="A66:B66"/>
    <mergeCell ref="C66:D66"/>
    <mergeCell ref="G66:H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7774-0853-4750-9AD1-0E624744CAE2}">
  <dimension ref="A1:M35"/>
  <sheetViews>
    <sheetView workbookViewId="0">
      <selection activeCell="B15" sqref="B15"/>
    </sheetView>
  </sheetViews>
  <sheetFormatPr defaultRowHeight="14.4"/>
  <cols>
    <col min="1" max="1" width="23.33203125" bestFit="1" customWidth="1"/>
    <col min="4" max="4" width="9.5546875" bestFit="1" customWidth="1"/>
  </cols>
  <sheetData>
    <row r="1" spans="1:13">
      <c r="A1" s="5" t="str">
        <f ca="1">'SIMUL SSGPI'!A38</f>
        <v/>
      </c>
      <c r="B1" s="5" t="e">
        <f ca="1">'SIMUL SSGPI'!B38</f>
        <v>#N/A</v>
      </c>
      <c r="D1" s="4">
        <f ca="1">SIMUL!B4</f>
        <v>46143</v>
      </c>
    </row>
    <row r="2" spans="1:13">
      <c r="A2" s="5" t="str">
        <f ca="1">'SIMUL SSGPI'!A7</f>
        <v/>
      </c>
      <c r="B2" s="1">
        <f>breuk</f>
        <v>1</v>
      </c>
    </row>
    <row r="3" spans="1:13">
      <c r="A3" s="5" t="str">
        <f ca="1">'SIMUL SSGPI'!A8</f>
        <v/>
      </c>
      <c r="B3" s="5">
        <f ca="1">'SIMUL SSGPI'!B8</f>
        <v>21</v>
      </c>
    </row>
    <row r="4" spans="1:13">
      <c r="A4" s="5" t="str">
        <f ca="1">'SIMUL SSGPI'!A9</f>
        <v/>
      </c>
      <c r="B4" s="5">
        <f ca="1">'SIMUL SSGPI'!B9</f>
        <v>21</v>
      </c>
    </row>
    <row r="5" spans="1:13">
      <c r="C5" t="s">
        <v>608</v>
      </c>
      <c r="D5" t="e">
        <f ca="1">'SIMUL SSGPI'!B44</f>
        <v>#N/A</v>
      </c>
    </row>
    <row r="6" spans="1:13">
      <c r="A6" t="s">
        <v>593</v>
      </c>
      <c r="B6" t="e">
        <f ca="1">ROUND(B1*B4/(B3*B2),2)</f>
        <v>#N/A</v>
      </c>
    </row>
    <row r="7" spans="1:13">
      <c r="A7" t="s">
        <v>594</v>
      </c>
      <c r="B7" t="e">
        <f ca="1">VLOOKUP(D1,A11:C35,2,TRUE)</f>
        <v>#N/A</v>
      </c>
      <c r="C7" t="e">
        <f ca="1">ROUND(B7*B3*B2/B4,2)</f>
        <v>#N/A</v>
      </c>
      <c r="D7" t="e">
        <f ca="1">C7+C8</f>
        <v>#N/A</v>
      </c>
    </row>
    <row r="8" spans="1:13">
      <c r="A8" t="s">
        <v>595</v>
      </c>
      <c r="B8" t="e">
        <f ca="1">VLOOKUP(D1,A12:C35,3,TRUE)</f>
        <v>#N/A</v>
      </c>
      <c r="C8" t="e">
        <f ca="1">ROUND(B8*B3*B2/B4,2)</f>
        <v>#N/A</v>
      </c>
      <c r="D8" t="e">
        <f ca="1">IF(D7&gt;D5,D5-C7,C8)</f>
        <v>#N/A</v>
      </c>
    </row>
    <row r="11" spans="1:13">
      <c r="B11" s="188" t="s">
        <v>589</v>
      </c>
      <c r="C11" t="s">
        <v>590</v>
      </c>
      <c r="D11" s="373" t="s">
        <v>591</v>
      </c>
      <c r="E11" s="353"/>
      <c r="F11" s="353"/>
      <c r="G11" s="353"/>
      <c r="H11" s="374"/>
      <c r="I11" s="373" t="s">
        <v>592</v>
      </c>
      <c r="J11" s="353"/>
      <c r="K11" s="353"/>
      <c r="L11" s="353"/>
      <c r="M11" s="374"/>
    </row>
    <row r="12" spans="1:13">
      <c r="A12" s="4">
        <v>45231</v>
      </c>
      <c r="B12" s="188" t="e">
        <f ca="1">SUM(D12:H12)</f>
        <v>#N/A</v>
      </c>
      <c r="C12">
        <f>SUM(I12:M12)</f>
        <v>0</v>
      </c>
      <c r="D12" s="188" t="e">
        <f ca="1">IF(B$6&lt;2054.02,267.42,0)</f>
        <v>#N/A</v>
      </c>
      <c r="E12" t="e">
        <f ca="1">ROUND(IF(AND(B$6&gt;2054.01,B$6&lt;2623.01),267.42-(0.2579*(B$6-2054.01)),0),2)</f>
        <v>#N/A</v>
      </c>
      <c r="F12" t="e">
        <f ca="1">ROUND(IF(AND(B$6&gt;2623,B$6&lt;3144.45),252.26-(0.2313*(B$6-2054.01)),0),2)</f>
        <v>#N/A</v>
      </c>
      <c r="H12" s="288"/>
      <c r="I12" s="188"/>
      <c r="M12" s="288"/>
    </row>
    <row r="13" spans="1:13">
      <c r="A13" s="4">
        <v>45383</v>
      </c>
      <c r="B13" s="188" t="e">
        <f t="shared" ref="B13:B35" ca="1" si="0">SUM(D13:H13)</f>
        <v>#N/A</v>
      </c>
      <c r="C13" t="e">
        <f t="shared" ref="C13:C35" ca="1" si="1">SUM(I13:M13)</f>
        <v>#N/A</v>
      </c>
      <c r="D13" s="188" t="e">
        <f ca="1">IF(B$6&lt;2669.97,115.91,0)</f>
        <v>#N/A</v>
      </c>
      <c r="E13" t="e">
        <f ca="1">ROUND(IF(AND(B$6&gt;2669.96,B$6&lt;3144.46),115.91-(0.2443*(B$6-2669.96)),0),2)</f>
        <v>#N/A</v>
      </c>
      <c r="H13" s="288"/>
      <c r="I13" s="188" t="e">
        <f ca="1">IF(B$6&lt;2090.79,156.3,0)</f>
        <v>#N/A</v>
      </c>
      <c r="J13" t="e">
        <f ca="1">ROUND(IF(AND(B$6&gt;2090.78,B$6&lt;2669.97),156.3-(0.2699*(B$6-2090.78)),0),2)</f>
        <v>#N/A</v>
      </c>
      <c r="M13" s="288"/>
    </row>
    <row r="14" spans="1:13">
      <c r="A14" s="4">
        <v>45413</v>
      </c>
      <c r="B14" s="188" t="e">
        <f t="shared" ca="1" si="0"/>
        <v>#N/A</v>
      </c>
      <c r="C14" t="e">
        <f t="shared" ca="1" si="1"/>
        <v>#N/A</v>
      </c>
      <c r="D14" s="188" t="e">
        <f ca="1">IF(B$6&lt;2723.37,118.22,0)</f>
        <v>#N/A</v>
      </c>
      <c r="E14" t="e">
        <f ca="1">ROUND(IF(AND(B$6&gt;2723.36,B$6&lt;3207.41),118.22-(0.2442*(B$6-2723.36)),0),2)</f>
        <v>#N/A</v>
      </c>
      <c r="H14" s="288"/>
      <c r="I14" s="188" t="e">
        <f ca="1">IF(B$6&lt;2132.6,159.43,0)</f>
        <v>#N/A</v>
      </c>
      <c r="J14" t="e">
        <f ca="1">ROUND(IF(AND(B$6&gt;2132.59,B$6&lt;2723.37),159.43-(0.2699*(B$6-2132.59)),0),2)</f>
        <v>#N/A</v>
      </c>
      <c r="M14" s="288"/>
    </row>
    <row r="15" spans="1:13">
      <c r="A15" s="4">
        <v>45689</v>
      </c>
      <c r="B15" s="188" t="e">
        <f t="shared" ca="1" si="0"/>
        <v>#N/A</v>
      </c>
      <c r="C15" t="e">
        <f t="shared" ca="1" si="1"/>
        <v>#N/A</v>
      </c>
      <c r="D15" s="188" t="e">
        <f ca="1">IF(B$6&lt;2777.83,120.59,0)</f>
        <v>#N/A</v>
      </c>
      <c r="E15" t="e">
        <f ca="1">ROUND(IF(AND(B$6&gt;2777.83,B$6&lt;3271.48),120.59-(0.2443*(B$6-2777.83)),0),2)</f>
        <v>#N/A</v>
      </c>
      <c r="H15" s="288"/>
      <c r="I15" s="188" t="e">
        <f ca="1">IF(B$6&lt;2175.25,162.62,0)</f>
        <v>#N/A</v>
      </c>
      <c r="J15" t="e">
        <f ca="1">ROUND(IF(AND(B$6&gt;2175.25,B$6&lt;2777.83),162.62-(0.2699*(B$6-2175.25)),0),2)</f>
        <v>#N/A</v>
      </c>
      <c r="M15" s="288"/>
    </row>
    <row r="16" spans="1:13">
      <c r="A16" s="4">
        <v>46023</v>
      </c>
      <c r="B16" s="188" t="e">
        <f t="shared" ca="1" si="0"/>
        <v>#N/A</v>
      </c>
      <c r="C16" t="e">
        <f t="shared" ca="1" si="1"/>
        <v>#N/A</v>
      </c>
      <c r="D16" s="188" t="e">
        <f ca="1">IF(B$6&lt;2833.36,123,0)</f>
        <v>#N/A</v>
      </c>
      <c r="E16" t="e">
        <f ca="1">ROUND(IF(AND(B$6&gt;2833.36,B$6&lt;3271.49),123-(0.2807*(B$6-2833.36)),0),2)</f>
        <v>#N/A</v>
      </c>
      <c r="H16" s="288"/>
      <c r="I16" s="188" t="e">
        <f ca="1">IF(B$6&lt;2218.73,165.87,0)</f>
        <v>#N/A</v>
      </c>
      <c r="J16" t="e">
        <f ca="1">ROUND(IF(AND(B$6&gt;2218.73,B$6&lt;2833.37),165.87-(0.2699*(B$6-2218.73)),0),2)</f>
        <v>#N/A</v>
      </c>
      <c r="M16" s="288"/>
    </row>
    <row r="17" spans="1:13">
      <c r="A17" s="4">
        <v>46082</v>
      </c>
      <c r="B17" s="188" t="e">
        <f t="shared" ca="1" si="0"/>
        <v>#N/A</v>
      </c>
      <c r="C17" t="e">
        <f t="shared" ca="1" si="1"/>
        <v>#N/A</v>
      </c>
      <c r="D17" s="188" t="e">
        <f ca="1">IF(B$6&lt;2833.36,123,0)</f>
        <v>#N/A</v>
      </c>
      <c r="E17" t="e">
        <f ca="1">ROUND(IF(AND(B$6&gt;2833.36,B$6&lt;3336.99),123-(0.2442*(B$6-2833.36)),0),2)</f>
        <v>#N/A</v>
      </c>
      <c r="H17" s="288"/>
      <c r="I17" s="188" t="e">
        <f ca="1">IF(B$6&lt;2218.73,165.87,0)</f>
        <v>#N/A</v>
      </c>
      <c r="J17" t="e">
        <f ca="1">ROUND(IF(AND(B$6&gt;2218.73,B$6&lt;2833.37),165.87-(0.2699*(B$6-2218.73)),0),2)</f>
        <v>#N/A</v>
      </c>
      <c r="M17" s="288"/>
    </row>
    <row r="18" spans="1:13">
      <c r="A18" s="4">
        <v>46113</v>
      </c>
      <c r="B18" s="188" t="e">
        <f t="shared" ca="1" si="0"/>
        <v>#N/A</v>
      </c>
      <c r="C18" t="e">
        <f t="shared" ca="1" si="1"/>
        <v>#N/A</v>
      </c>
      <c r="D18" s="188" t="e">
        <f ca="1">IF(B$6&lt;2880.32,125.04,0)</f>
        <v>#N/A</v>
      </c>
      <c r="E18" t="e">
        <f ca="1">ROUND(IF(AND(B$6&gt;2880.32,B$6&lt;3336.99),125.04-(0.2738*(B$6-2880.32)),0),2)</f>
        <v>#N/A</v>
      </c>
      <c r="H18" s="288"/>
      <c r="I18" s="188" t="e">
        <f ca="1">IF(B$6&lt;2255.5,168.62,0)</f>
        <v>#N/A</v>
      </c>
      <c r="J18" t="e">
        <f ca="1">ROUND(IF(AND(B$6&gt;2255.5,B$6&lt;2880.32),168.62-(0.2699*(B$6-2255.5)),0),2)</f>
        <v>#N/A</v>
      </c>
      <c r="M18" s="288"/>
    </row>
    <row r="19" spans="1:13">
      <c r="B19" s="188">
        <f t="shared" si="0"/>
        <v>0</v>
      </c>
      <c r="C19">
        <f t="shared" si="1"/>
        <v>0</v>
      </c>
      <c r="D19" s="188"/>
      <c r="H19" s="288"/>
      <c r="I19" s="188"/>
      <c r="M19" s="288"/>
    </row>
    <row r="20" spans="1:13">
      <c r="B20" s="188">
        <f t="shared" si="0"/>
        <v>0</v>
      </c>
      <c r="C20">
        <f t="shared" si="1"/>
        <v>0</v>
      </c>
      <c r="D20" s="188"/>
      <c r="H20" s="288"/>
      <c r="I20" s="188"/>
      <c r="M20" s="288"/>
    </row>
    <row r="21" spans="1:13">
      <c r="B21" s="188">
        <f t="shared" si="0"/>
        <v>0</v>
      </c>
      <c r="C21">
        <f t="shared" si="1"/>
        <v>0</v>
      </c>
      <c r="D21" s="188"/>
      <c r="H21" s="288"/>
      <c r="I21" s="188"/>
      <c r="M21" s="288"/>
    </row>
    <row r="22" spans="1:13">
      <c r="B22" s="188">
        <f t="shared" si="0"/>
        <v>0</v>
      </c>
      <c r="C22">
        <f t="shared" si="1"/>
        <v>0</v>
      </c>
      <c r="D22" s="188"/>
      <c r="H22" s="288"/>
      <c r="I22" s="188"/>
      <c r="M22" s="288"/>
    </row>
    <row r="23" spans="1:13">
      <c r="B23" s="188">
        <f t="shared" si="0"/>
        <v>0</v>
      </c>
      <c r="C23">
        <f t="shared" si="1"/>
        <v>0</v>
      </c>
      <c r="D23" s="188"/>
      <c r="H23" s="288"/>
      <c r="I23" s="188"/>
      <c r="M23" s="288"/>
    </row>
    <row r="24" spans="1:13">
      <c r="B24" s="188">
        <f t="shared" si="0"/>
        <v>0</v>
      </c>
      <c r="C24">
        <f t="shared" si="1"/>
        <v>0</v>
      </c>
      <c r="D24" s="188"/>
      <c r="H24" s="288"/>
      <c r="I24" s="188"/>
      <c r="M24" s="288"/>
    </row>
    <row r="25" spans="1:13">
      <c r="B25" s="188">
        <f t="shared" si="0"/>
        <v>0</v>
      </c>
      <c r="C25">
        <f t="shared" si="1"/>
        <v>0</v>
      </c>
      <c r="D25" s="188"/>
      <c r="H25" s="288"/>
      <c r="I25" s="188"/>
      <c r="M25" s="288"/>
    </row>
    <row r="26" spans="1:13">
      <c r="B26" s="188">
        <f t="shared" si="0"/>
        <v>0</v>
      </c>
      <c r="C26">
        <f t="shared" si="1"/>
        <v>0</v>
      </c>
      <c r="D26" s="188"/>
      <c r="H26" s="288"/>
      <c r="I26" s="188"/>
      <c r="M26" s="288"/>
    </row>
    <row r="27" spans="1:13">
      <c r="B27" s="188">
        <f t="shared" si="0"/>
        <v>0</v>
      </c>
      <c r="C27">
        <f t="shared" si="1"/>
        <v>0</v>
      </c>
      <c r="D27" s="188"/>
      <c r="H27" s="288"/>
      <c r="I27" s="188"/>
      <c r="M27" s="288"/>
    </row>
    <row r="28" spans="1:13">
      <c r="B28" s="188">
        <f t="shared" si="0"/>
        <v>0</v>
      </c>
      <c r="C28">
        <f t="shared" si="1"/>
        <v>0</v>
      </c>
      <c r="D28" s="188"/>
      <c r="H28" s="288"/>
      <c r="I28" s="188"/>
      <c r="M28" s="288"/>
    </row>
    <row r="29" spans="1:13">
      <c r="B29" s="188">
        <f t="shared" si="0"/>
        <v>0</v>
      </c>
      <c r="C29">
        <f t="shared" si="1"/>
        <v>0</v>
      </c>
      <c r="D29" s="188"/>
      <c r="H29" s="288"/>
      <c r="I29" s="188"/>
      <c r="M29" s="288"/>
    </row>
    <row r="30" spans="1:13">
      <c r="B30" s="188">
        <f t="shared" si="0"/>
        <v>0</v>
      </c>
      <c r="C30">
        <f t="shared" si="1"/>
        <v>0</v>
      </c>
      <c r="D30" s="188"/>
      <c r="H30" s="288"/>
      <c r="I30" s="188"/>
      <c r="M30" s="288"/>
    </row>
    <row r="31" spans="1:13">
      <c r="B31" s="188">
        <f t="shared" si="0"/>
        <v>0</v>
      </c>
      <c r="C31">
        <f t="shared" si="1"/>
        <v>0</v>
      </c>
      <c r="D31" s="188"/>
      <c r="H31" s="288"/>
      <c r="I31" s="188"/>
      <c r="M31" s="288"/>
    </row>
    <row r="32" spans="1:13">
      <c r="B32" s="188">
        <f t="shared" si="0"/>
        <v>0</v>
      </c>
      <c r="C32">
        <f t="shared" si="1"/>
        <v>0</v>
      </c>
      <c r="D32" s="188"/>
      <c r="H32" s="288"/>
      <c r="I32" s="188"/>
      <c r="M32" s="288"/>
    </row>
    <row r="33" spans="2:13">
      <c r="B33" s="188">
        <f t="shared" si="0"/>
        <v>0</v>
      </c>
      <c r="C33">
        <f t="shared" si="1"/>
        <v>0</v>
      </c>
      <c r="D33" s="188"/>
      <c r="H33" s="288"/>
      <c r="I33" s="188"/>
      <c r="M33" s="288"/>
    </row>
    <row r="34" spans="2:13">
      <c r="B34" s="188">
        <f t="shared" si="0"/>
        <v>0</v>
      </c>
      <c r="C34">
        <f t="shared" si="1"/>
        <v>0</v>
      </c>
      <c r="D34" s="188"/>
      <c r="H34" s="288"/>
      <c r="I34" s="188"/>
      <c r="M34" s="288"/>
    </row>
    <row r="35" spans="2:13">
      <c r="B35" s="188">
        <f t="shared" si="0"/>
        <v>0</v>
      </c>
      <c r="C35">
        <f t="shared" si="1"/>
        <v>0</v>
      </c>
      <c r="D35" s="188"/>
      <c r="H35" s="288"/>
      <c r="I35" s="188"/>
      <c r="M35" s="288"/>
    </row>
  </sheetData>
  <sheetProtection algorithmName="SHA-512" hashValue="gfjFXWgZVyfaDZABzYmsh5Hbg3CB6BoEhQGNr1vT8QpbvURrtL8KI+JE3+Gn7JjYU3567FFLcHkYCw8h93UMiQ==" saltValue="bmpbVY/Z/+FdKv306AqJ/A==" spinCount="100000" sheet="1" objects="1" scenarios="1"/>
  <mergeCells count="2">
    <mergeCell ref="D11:H11"/>
    <mergeCell ref="I11:M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1082-69F7-4CA5-905A-4A3443E56955}">
  <dimension ref="A1:EA49"/>
  <sheetViews>
    <sheetView workbookViewId="0">
      <selection activeCell="B15" sqref="B15"/>
    </sheetView>
  </sheetViews>
  <sheetFormatPr defaultRowHeight="14.4"/>
  <cols>
    <col min="1" max="1" width="11" customWidth="1"/>
    <col min="44" max="54" width="8.88671875" style="5"/>
    <col min="62" max="63" width="10.6640625" bestFit="1" customWidth="1"/>
  </cols>
  <sheetData>
    <row r="1" spans="1:131" s="69" customFormat="1" ht="15" thickBot="1">
      <c r="B1" s="69">
        <f>ROUND(B36,0)</f>
        <v>1</v>
      </c>
      <c r="C1" s="69">
        <f t="shared" ref="C1:CD1" si="0">ROUND(C36,0)</f>
        <v>1</v>
      </c>
      <c r="D1" s="69">
        <f t="shared" si="0"/>
        <v>1</v>
      </c>
      <c r="E1" s="69">
        <f t="shared" si="0"/>
        <v>1</v>
      </c>
      <c r="F1" s="69">
        <f t="shared" si="0"/>
        <v>1</v>
      </c>
      <c r="G1" s="69">
        <f t="shared" si="0"/>
        <v>1</v>
      </c>
      <c r="H1" s="69">
        <f t="shared" si="0"/>
        <v>1</v>
      </c>
      <c r="I1" s="69">
        <f t="shared" si="0"/>
        <v>1</v>
      </c>
      <c r="J1" s="69">
        <f t="shared" si="0"/>
        <v>2</v>
      </c>
      <c r="K1" s="69">
        <f t="shared" si="0"/>
        <v>2</v>
      </c>
      <c r="L1" s="69">
        <f t="shared" si="0"/>
        <v>2</v>
      </c>
      <c r="M1" s="69">
        <f t="shared" si="0"/>
        <v>2</v>
      </c>
      <c r="N1" s="69">
        <f t="shared" si="0"/>
        <v>2</v>
      </c>
      <c r="O1" s="69">
        <f t="shared" si="0"/>
        <v>2</v>
      </c>
      <c r="P1" s="69">
        <v>3</v>
      </c>
      <c r="Q1" s="69">
        <v>3</v>
      </c>
      <c r="R1" s="69">
        <v>3</v>
      </c>
      <c r="S1" s="69">
        <v>3</v>
      </c>
      <c r="T1" s="69">
        <v>3</v>
      </c>
      <c r="U1" s="69">
        <v>3</v>
      </c>
      <c r="V1" s="69">
        <v>3</v>
      </c>
      <c r="W1" s="69">
        <v>3</v>
      </c>
      <c r="X1" s="69">
        <f t="shared" si="0"/>
        <v>2</v>
      </c>
      <c r="Y1" s="69">
        <f t="shared" si="0"/>
        <v>2</v>
      </c>
      <c r="Z1" s="69">
        <f t="shared" si="0"/>
        <v>2</v>
      </c>
      <c r="AA1" s="69">
        <f t="shared" si="0"/>
        <v>2</v>
      </c>
      <c r="AB1" s="69">
        <f t="shared" si="0"/>
        <v>2</v>
      </c>
      <c r="AH1" s="69">
        <f t="shared" si="0"/>
        <v>3</v>
      </c>
      <c r="AI1" s="69">
        <f t="shared" si="0"/>
        <v>3</v>
      </c>
      <c r="AJ1" s="69">
        <f t="shared" si="0"/>
        <v>3</v>
      </c>
      <c r="AK1" s="69">
        <f t="shared" si="0"/>
        <v>3</v>
      </c>
      <c r="AL1" s="69">
        <f t="shared" si="0"/>
        <v>3</v>
      </c>
      <c r="AM1" s="69">
        <f t="shared" si="0"/>
        <v>3</v>
      </c>
      <c r="AN1" s="69">
        <f t="shared" si="0"/>
        <v>3</v>
      </c>
      <c r="AO1" s="69">
        <f t="shared" si="0"/>
        <v>3</v>
      </c>
      <c r="AP1" s="69">
        <f t="shared" si="0"/>
        <v>3</v>
      </c>
      <c r="AQ1" s="69">
        <f t="shared" si="0"/>
        <v>3</v>
      </c>
      <c r="AR1" s="69">
        <f t="shared" si="0"/>
        <v>3</v>
      </c>
      <c r="AS1" s="69">
        <f t="shared" si="0"/>
        <v>3</v>
      </c>
      <c r="AT1" s="69">
        <f t="shared" si="0"/>
        <v>3</v>
      </c>
      <c r="AU1" s="69">
        <f t="shared" si="0"/>
        <v>4</v>
      </c>
      <c r="AV1" s="69">
        <f t="shared" si="0"/>
        <v>4</v>
      </c>
      <c r="AW1" s="69">
        <f t="shared" si="0"/>
        <v>4</v>
      </c>
      <c r="AX1" s="69">
        <f t="shared" si="0"/>
        <v>4</v>
      </c>
      <c r="AY1" s="69">
        <f t="shared" si="0"/>
        <v>4</v>
      </c>
      <c r="AZ1" s="69">
        <f t="shared" si="0"/>
        <v>4</v>
      </c>
      <c r="BA1" s="69">
        <f t="shared" si="0"/>
        <v>4</v>
      </c>
      <c r="BB1" s="69">
        <f t="shared" si="0"/>
        <v>5</v>
      </c>
      <c r="BC1" s="69">
        <f t="shared" si="0"/>
        <v>5</v>
      </c>
      <c r="BD1" s="69">
        <f t="shared" si="0"/>
        <v>4</v>
      </c>
      <c r="BE1" s="69">
        <f t="shared" si="0"/>
        <v>4</v>
      </c>
      <c r="BF1" s="69">
        <f t="shared" si="0"/>
        <v>4</v>
      </c>
      <c r="BG1" s="69">
        <f t="shared" si="0"/>
        <v>4</v>
      </c>
      <c r="BH1" s="69">
        <f t="shared" si="0"/>
        <v>4</v>
      </c>
      <c r="BI1" s="69">
        <f t="shared" si="0"/>
        <v>4</v>
      </c>
      <c r="BJ1" s="69">
        <v>4</v>
      </c>
      <c r="BK1" s="69">
        <v>4</v>
      </c>
      <c r="BL1" s="69">
        <f t="shared" si="0"/>
        <v>7</v>
      </c>
      <c r="BM1" s="69">
        <f t="shared" si="0"/>
        <v>7</v>
      </c>
      <c r="BN1" s="69">
        <f t="shared" si="0"/>
        <v>7</v>
      </c>
      <c r="BO1" s="69">
        <f t="shared" si="0"/>
        <v>7</v>
      </c>
      <c r="BP1" s="69">
        <f t="shared" si="0"/>
        <v>7</v>
      </c>
      <c r="BQ1" s="69">
        <f t="shared" si="0"/>
        <v>7</v>
      </c>
      <c r="BR1" s="69">
        <f t="shared" si="0"/>
        <v>7</v>
      </c>
      <c r="BS1" s="69">
        <f t="shared" si="0"/>
        <v>7</v>
      </c>
      <c r="BT1" s="69">
        <v>7</v>
      </c>
      <c r="BU1" s="69">
        <f t="shared" si="0"/>
        <v>7</v>
      </c>
      <c r="BV1" s="69">
        <f t="shared" si="0"/>
        <v>7</v>
      </c>
      <c r="BW1" s="69">
        <f t="shared" si="0"/>
        <v>7</v>
      </c>
      <c r="BX1" s="69">
        <f t="shared" si="0"/>
        <v>7</v>
      </c>
      <c r="BY1" s="69">
        <f t="shared" si="0"/>
        <v>7</v>
      </c>
      <c r="BZ1" s="69">
        <f t="shared" si="0"/>
        <v>7</v>
      </c>
      <c r="CA1" s="69">
        <f t="shared" si="0"/>
        <v>7</v>
      </c>
      <c r="CB1" s="69">
        <f t="shared" si="0"/>
        <v>7</v>
      </c>
      <c r="CC1" s="69">
        <f t="shared" si="0"/>
        <v>8</v>
      </c>
      <c r="CD1" s="69">
        <f t="shared" si="0"/>
        <v>8</v>
      </c>
      <c r="CE1" s="69">
        <f t="shared" ref="CE1:EA1" si="1">ROUND(CE36,0)</f>
        <v>8</v>
      </c>
      <c r="CF1" s="69">
        <f t="shared" si="1"/>
        <v>8</v>
      </c>
      <c r="CG1" s="69">
        <v>8</v>
      </c>
      <c r="CH1" s="69">
        <f t="shared" si="1"/>
        <v>8</v>
      </c>
      <c r="CI1" s="69">
        <f t="shared" si="1"/>
        <v>8</v>
      </c>
      <c r="CJ1" s="69">
        <f t="shared" si="1"/>
        <v>8</v>
      </c>
      <c r="CK1" s="69">
        <f t="shared" si="1"/>
        <v>8</v>
      </c>
      <c r="CL1" s="69">
        <v>8</v>
      </c>
      <c r="CM1" s="69">
        <f t="shared" si="1"/>
        <v>8</v>
      </c>
      <c r="CN1" s="69">
        <f t="shared" si="1"/>
        <v>8</v>
      </c>
      <c r="CO1" s="69">
        <f t="shared" si="1"/>
        <v>8</v>
      </c>
      <c r="CP1" s="69">
        <f t="shared" si="1"/>
        <v>8</v>
      </c>
      <c r="CQ1" s="69">
        <f t="shared" si="1"/>
        <v>9</v>
      </c>
      <c r="CR1" s="69">
        <f t="shared" si="1"/>
        <v>9</v>
      </c>
      <c r="CS1" s="69">
        <f t="shared" si="1"/>
        <v>9</v>
      </c>
      <c r="CT1" s="69">
        <f t="shared" si="1"/>
        <v>9</v>
      </c>
      <c r="CU1" s="69">
        <v>9</v>
      </c>
      <c r="CV1" s="69">
        <f t="shared" si="1"/>
        <v>9</v>
      </c>
      <c r="CW1" s="69">
        <f t="shared" si="1"/>
        <v>9</v>
      </c>
      <c r="CX1" s="69">
        <f t="shared" si="1"/>
        <v>9</v>
      </c>
      <c r="CY1" s="69">
        <f t="shared" si="1"/>
        <v>9</v>
      </c>
      <c r="CZ1" s="69">
        <v>9</v>
      </c>
      <c r="DA1" s="69">
        <f t="shared" si="1"/>
        <v>9</v>
      </c>
      <c r="DB1" s="69">
        <f t="shared" si="1"/>
        <v>9</v>
      </c>
      <c r="DC1" s="69">
        <f t="shared" si="1"/>
        <v>9</v>
      </c>
      <c r="DD1" s="69">
        <f t="shared" si="1"/>
        <v>9</v>
      </c>
      <c r="DE1" s="69">
        <v>9</v>
      </c>
      <c r="DF1" s="69">
        <f t="shared" si="1"/>
        <v>9</v>
      </c>
      <c r="DG1" s="69">
        <f t="shared" si="1"/>
        <v>9</v>
      </c>
      <c r="DH1" s="69">
        <f t="shared" si="1"/>
        <v>9</v>
      </c>
      <c r="DI1" s="69">
        <f t="shared" si="1"/>
        <v>9</v>
      </c>
      <c r="DJ1" s="69">
        <f t="shared" si="1"/>
        <v>9</v>
      </c>
      <c r="DK1" s="69">
        <f t="shared" si="1"/>
        <v>9</v>
      </c>
      <c r="DL1" s="69">
        <f t="shared" si="1"/>
        <v>9</v>
      </c>
      <c r="DM1" s="69">
        <f t="shared" si="1"/>
        <v>9</v>
      </c>
      <c r="DN1" s="69">
        <f t="shared" si="1"/>
        <v>10</v>
      </c>
      <c r="DO1" s="69">
        <f t="shared" si="1"/>
        <v>10</v>
      </c>
      <c r="DP1" s="69">
        <f t="shared" si="1"/>
        <v>10</v>
      </c>
      <c r="DQ1" s="69">
        <f t="shared" si="1"/>
        <v>10</v>
      </c>
      <c r="DR1" s="69">
        <f t="shared" si="1"/>
        <v>10</v>
      </c>
      <c r="DS1" s="69">
        <f t="shared" si="1"/>
        <v>10</v>
      </c>
      <c r="DT1" s="69">
        <f t="shared" si="1"/>
        <v>10</v>
      </c>
      <c r="DU1" s="69">
        <f t="shared" si="1"/>
        <v>10</v>
      </c>
      <c r="DV1" s="69">
        <f t="shared" si="1"/>
        <v>10</v>
      </c>
      <c r="DW1" s="69">
        <f t="shared" si="1"/>
        <v>10</v>
      </c>
      <c r="DX1" s="69">
        <f t="shared" si="1"/>
        <v>10</v>
      </c>
      <c r="DY1" s="69">
        <f t="shared" si="1"/>
        <v>10</v>
      </c>
      <c r="DZ1" s="69">
        <f t="shared" si="1"/>
        <v>10</v>
      </c>
      <c r="EA1" s="69">
        <f t="shared" si="1"/>
        <v>10</v>
      </c>
    </row>
    <row r="2" spans="1:131">
      <c r="A2" s="15" t="s">
        <v>72</v>
      </c>
      <c r="B2" s="16" t="s">
        <v>71</v>
      </c>
      <c r="C2" s="17" t="s">
        <v>174</v>
      </c>
      <c r="D2" s="17" t="s">
        <v>175</v>
      </c>
      <c r="E2" s="18" t="s">
        <v>176</v>
      </c>
      <c r="F2" s="16" t="s">
        <v>177</v>
      </c>
      <c r="G2" s="17" t="s">
        <v>178</v>
      </c>
      <c r="H2" s="17" t="s">
        <v>179</v>
      </c>
      <c r="I2" s="18" t="s">
        <v>180</v>
      </c>
      <c r="J2" s="65" t="s">
        <v>163</v>
      </c>
      <c r="K2" s="66" t="s">
        <v>164</v>
      </c>
      <c r="L2" s="66" t="s">
        <v>165</v>
      </c>
      <c r="M2" s="66" t="s">
        <v>166</v>
      </c>
      <c r="N2" s="66" t="s">
        <v>167</v>
      </c>
      <c r="O2" s="67" t="s">
        <v>168</v>
      </c>
      <c r="P2" s="78" t="s">
        <v>201</v>
      </c>
      <c r="Q2" s="78" t="s">
        <v>202</v>
      </c>
      <c r="R2" s="78" t="s">
        <v>203</v>
      </c>
      <c r="S2" s="78" t="s">
        <v>204</v>
      </c>
      <c r="T2" s="78" t="s">
        <v>205</v>
      </c>
      <c r="U2" s="78" t="s">
        <v>206</v>
      </c>
      <c r="V2" s="78" t="s">
        <v>207</v>
      </c>
      <c r="W2" s="78" t="s">
        <v>208</v>
      </c>
      <c r="X2" s="16" t="s">
        <v>169</v>
      </c>
      <c r="Y2" s="17" t="s">
        <v>170</v>
      </c>
      <c r="Z2" s="17" t="s">
        <v>171</v>
      </c>
      <c r="AA2" s="17" t="s">
        <v>172</v>
      </c>
      <c r="AB2" s="18" t="s">
        <v>173</v>
      </c>
      <c r="AC2" s="292" t="s">
        <v>596</v>
      </c>
      <c r="AD2" s="293" t="s">
        <v>597</v>
      </c>
      <c r="AE2" s="293" t="s">
        <v>598</v>
      </c>
      <c r="AF2" s="293" t="s">
        <v>599</v>
      </c>
      <c r="AG2" s="294" t="s">
        <v>600</v>
      </c>
      <c r="AH2" s="16" t="s">
        <v>73</v>
      </c>
      <c r="AI2" s="17" t="s">
        <v>74</v>
      </c>
      <c r="AJ2" s="17" t="s">
        <v>75</v>
      </c>
      <c r="AK2" s="17" t="s">
        <v>76</v>
      </c>
      <c r="AL2" s="17" t="s">
        <v>77</v>
      </c>
      <c r="AM2" s="17" t="s">
        <v>160</v>
      </c>
      <c r="AN2" s="18" t="s">
        <v>161</v>
      </c>
      <c r="AO2" s="16" t="s">
        <v>78</v>
      </c>
      <c r="AP2" s="17" t="s">
        <v>79</v>
      </c>
      <c r="AQ2" s="17" t="s">
        <v>80</v>
      </c>
      <c r="AR2" s="17" t="s">
        <v>81</v>
      </c>
      <c r="AS2" s="17" t="s">
        <v>82</v>
      </c>
      <c r="AT2" s="18" t="s">
        <v>162</v>
      </c>
      <c r="AU2" s="16" t="s">
        <v>150</v>
      </c>
      <c r="AV2" s="17" t="s">
        <v>151</v>
      </c>
      <c r="AW2" s="17" t="s">
        <v>152</v>
      </c>
      <c r="AX2" s="17" t="s">
        <v>153</v>
      </c>
      <c r="AY2" s="17" t="s">
        <v>158</v>
      </c>
      <c r="AZ2" s="17" t="s">
        <v>154</v>
      </c>
      <c r="BA2" s="17" t="s">
        <v>155</v>
      </c>
      <c r="BB2" s="17" t="s">
        <v>156</v>
      </c>
      <c r="BC2" s="18" t="s">
        <v>157</v>
      </c>
      <c r="BD2" s="16" t="s">
        <v>146</v>
      </c>
      <c r="BE2" s="17" t="s">
        <v>147</v>
      </c>
      <c r="BF2" s="17" t="s">
        <v>148</v>
      </c>
      <c r="BG2" s="17" t="s">
        <v>159</v>
      </c>
      <c r="BH2" s="17" t="s">
        <v>149</v>
      </c>
      <c r="BI2" s="18" t="s">
        <v>145</v>
      </c>
      <c r="BJ2" s="74" t="s">
        <v>199</v>
      </c>
      <c r="BK2" s="18" t="s">
        <v>200</v>
      </c>
      <c r="BL2" s="77" t="s">
        <v>83</v>
      </c>
      <c r="BM2" s="17" t="s">
        <v>84</v>
      </c>
      <c r="BN2" s="17" t="s">
        <v>85</v>
      </c>
      <c r="BO2" s="18" t="s">
        <v>86</v>
      </c>
      <c r="BP2" s="16" t="s">
        <v>87</v>
      </c>
      <c r="BQ2" s="17" t="s">
        <v>88</v>
      </c>
      <c r="BR2" s="17" t="s">
        <v>89</v>
      </c>
      <c r="BS2" s="281" t="s">
        <v>90</v>
      </c>
      <c r="BT2" s="18" t="s">
        <v>583</v>
      </c>
      <c r="BU2" s="77" t="s">
        <v>91</v>
      </c>
      <c r="BV2" s="17" t="s">
        <v>92</v>
      </c>
      <c r="BW2" s="17" t="s">
        <v>93</v>
      </c>
      <c r="BX2" s="18" t="s">
        <v>94</v>
      </c>
      <c r="BY2" s="16" t="s">
        <v>95</v>
      </c>
      <c r="BZ2" s="17" t="s">
        <v>96</v>
      </c>
      <c r="CA2" s="17" t="s">
        <v>97</v>
      </c>
      <c r="CB2" s="18" t="s">
        <v>98</v>
      </c>
      <c r="CC2" s="295" t="s">
        <v>99</v>
      </c>
      <c r="CD2" s="296" t="s">
        <v>100</v>
      </c>
      <c r="CE2" s="296" t="s">
        <v>101</v>
      </c>
      <c r="CF2" s="297" t="s">
        <v>102</v>
      </c>
      <c r="CG2" s="283" t="s">
        <v>584</v>
      </c>
      <c r="CH2" s="77" t="s">
        <v>103</v>
      </c>
      <c r="CI2" s="17" t="s">
        <v>104</v>
      </c>
      <c r="CJ2" s="17" t="s">
        <v>105</v>
      </c>
      <c r="CK2" s="281" t="s">
        <v>106</v>
      </c>
      <c r="CL2" s="18" t="s">
        <v>585</v>
      </c>
      <c r="CM2" s="16" t="s">
        <v>107</v>
      </c>
      <c r="CN2" s="17" t="s">
        <v>108</v>
      </c>
      <c r="CO2" s="17" t="s">
        <v>109</v>
      </c>
      <c r="CP2" s="18" t="s">
        <v>110</v>
      </c>
      <c r="CQ2" s="16" t="s">
        <v>111</v>
      </c>
      <c r="CR2" s="17" t="s">
        <v>112</v>
      </c>
      <c r="CS2" s="17" t="s">
        <v>113</v>
      </c>
      <c r="CT2" s="281" t="s">
        <v>114</v>
      </c>
      <c r="CU2" s="18" t="s">
        <v>586</v>
      </c>
      <c r="CV2" s="16" t="s">
        <v>115</v>
      </c>
      <c r="CW2" s="17" t="s">
        <v>116</v>
      </c>
      <c r="CX2" s="17" t="s">
        <v>117</v>
      </c>
      <c r="CY2" s="281" t="s">
        <v>118</v>
      </c>
      <c r="CZ2" s="282" t="s">
        <v>587</v>
      </c>
      <c r="DA2" s="77" t="s">
        <v>119</v>
      </c>
      <c r="DB2" s="17" t="s">
        <v>120</v>
      </c>
      <c r="DC2" s="17" t="s">
        <v>121</v>
      </c>
      <c r="DD2" s="281" t="s">
        <v>122</v>
      </c>
      <c r="DE2" s="283" t="s">
        <v>588</v>
      </c>
      <c r="DF2" s="77" t="s">
        <v>123</v>
      </c>
      <c r="DG2" s="17" t="s">
        <v>124</v>
      </c>
      <c r="DH2" s="17" t="s">
        <v>125</v>
      </c>
      <c r="DI2" s="18" t="s">
        <v>126</v>
      </c>
      <c r="DJ2" s="16" t="s">
        <v>127</v>
      </c>
      <c r="DK2" s="17" t="s">
        <v>128</v>
      </c>
      <c r="DL2" s="17" t="s">
        <v>129</v>
      </c>
      <c r="DM2" s="18" t="s">
        <v>130</v>
      </c>
      <c r="DN2" s="36" t="s">
        <v>131</v>
      </c>
      <c r="DO2" s="37" t="s">
        <v>132</v>
      </c>
      <c r="DP2" s="37" t="s">
        <v>133</v>
      </c>
      <c r="DQ2" s="37" t="s">
        <v>134</v>
      </c>
      <c r="DR2" s="37" t="s">
        <v>135</v>
      </c>
      <c r="DS2" s="37" t="s">
        <v>136</v>
      </c>
      <c r="DT2" s="37" t="s">
        <v>137</v>
      </c>
      <c r="DU2" s="37" t="s">
        <v>138</v>
      </c>
      <c r="DV2" s="37" t="s">
        <v>139</v>
      </c>
      <c r="DW2" s="37" t="s">
        <v>140</v>
      </c>
      <c r="DX2" s="37" t="s">
        <v>141</v>
      </c>
      <c r="DY2" s="37" t="s">
        <v>142</v>
      </c>
      <c r="DZ2" s="37" t="s">
        <v>143</v>
      </c>
      <c r="EA2" s="38" t="s">
        <v>144</v>
      </c>
    </row>
    <row r="3" spans="1:131">
      <c r="A3" s="19">
        <v>0</v>
      </c>
      <c r="B3" s="20">
        <v>15253.88</v>
      </c>
      <c r="C3" s="21">
        <v>15873.62</v>
      </c>
      <c r="D3" s="21">
        <v>16673.349999999999</v>
      </c>
      <c r="E3" s="22">
        <v>17673.349999999999</v>
      </c>
      <c r="F3" s="20">
        <v>15558.01</v>
      </c>
      <c r="G3" s="21">
        <v>16872.86</v>
      </c>
      <c r="H3" s="21">
        <v>18273.7</v>
      </c>
      <c r="I3" s="22">
        <v>19773.7</v>
      </c>
      <c r="J3" s="59">
        <v>15743.21</v>
      </c>
      <c r="K3" s="53">
        <v>16473.7</v>
      </c>
      <c r="L3" s="53">
        <v>18105</v>
      </c>
      <c r="M3" s="53">
        <v>19335.080000000002</v>
      </c>
      <c r="N3" s="53">
        <v>20190.45</v>
      </c>
      <c r="O3" s="60">
        <v>21068.11</v>
      </c>
      <c r="P3" s="79">
        <v>17725.05</v>
      </c>
      <c r="Q3" s="79">
        <v>23740.23</v>
      </c>
      <c r="R3" s="79">
        <v>24079.23</v>
      </c>
      <c r="S3" s="79">
        <v>24565.8</v>
      </c>
      <c r="T3" s="79">
        <v>17730.740000000002</v>
      </c>
      <c r="U3" s="79">
        <v>24045.7</v>
      </c>
      <c r="V3" s="79">
        <v>19448.82</v>
      </c>
      <c r="W3" s="79">
        <v>22269.62</v>
      </c>
      <c r="X3" s="20">
        <v>16698.14</v>
      </c>
      <c r="Y3" s="21">
        <v>17292.132249999999</v>
      </c>
      <c r="Z3" s="21">
        <v>17311.400000000001</v>
      </c>
      <c r="AA3" s="21">
        <v>21666</v>
      </c>
      <c r="AB3" s="22">
        <v>23366</v>
      </c>
      <c r="AC3" s="289">
        <v>19004</v>
      </c>
      <c r="AD3" s="290">
        <v>21504</v>
      </c>
      <c r="AE3" s="290">
        <v>23504</v>
      </c>
      <c r="AF3" s="290">
        <v>25504</v>
      </c>
      <c r="AG3" s="291">
        <v>27504</v>
      </c>
      <c r="AH3" s="20">
        <v>18532.55</v>
      </c>
      <c r="AI3" s="21">
        <v>20087.810000000001</v>
      </c>
      <c r="AJ3" s="21">
        <v>20335.7</v>
      </c>
      <c r="AK3" s="21">
        <v>20583.59</v>
      </c>
      <c r="AL3" s="21">
        <v>27296</v>
      </c>
      <c r="AM3" s="21">
        <v>20327.27</v>
      </c>
      <c r="AN3" s="22">
        <v>23054.1</v>
      </c>
      <c r="AO3" s="20">
        <v>19914.28</v>
      </c>
      <c r="AP3" s="21">
        <v>21805.71</v>
      </c>
      <c r="AQ3" s="21">
        <v>22075.91</v>
      </c>
      <c r="AR3" s="21">
        <v>22346.12</v>
      </c>
      <c r="AS3" s="21">
        <v>23346.12</v>
      </c>
      <c r="AT3" s="22">
        <v>23797.78</v>
      </c>
      <c r="AU3" s="20">
        <v>22070.95</v>
      </c>
      <c r="AV3" s="21">
        <v>24797.78</v>
      </c>
      <c r="AW3" s="21">
        <v>25789.360000000001</v>
      </c>
      <c r="AX3" s="21">
        <v>28516.19</v>
      </c>
      <c r="AY3" s="21">
        <v>30738.799999999999</v>
      </c>
      <c r="AZ3" s="21">
        <v>34961.42</v>
      </c>
      <c r="BA3" s="21">
        <v>36324.83</v>
      </c>
      <c r="BB3" s="21">
        <v>38431.93</v>
      </c>
      <c r="BC3" s="22">
        <v>42398.22</v>
      </c>
      <c r="BD3" s="20">
        <v>26653.52</v>
      </c>
      <c r="BE3" s="21">
        <v>27764.080000000002</v>
      </c>
      <c r="BF3" s="21">
        <v>29167.16</v>
      </c>
      <c r="BG3" s="21">
        <v>32583.13</v>
      </c>
      <c r="BH3" s="21">
        <v>35999.1</v>
      </c>
      <c r="BI3" s="22">
        <v>36031.33</v>
      </c>
      <c r="BJ3" s="75">
        <v>73185.81</v>
      </c>
      <c r="BK3" s="22">
        <v>65508.800000000003</v>
      </c>
      <c r="BL3" s="20">
        <v>12951</v>
      </c>
      <c r="BM3" s="21">
        <v>13751</v>
      </c>
      <c r="BN3" s="21">
        <v>14491.64</v>
      </c>
      <c r="BO3" s="22">
        <v>15491.64</v>
      </c>
      <c r="BP3" s="20">
        <v>12952</v>
      </c>
      <c r="BQ3" s="21">
        <v>14052</v>
      </c>
      <c r="BR3" s="21">
        <v>15052</v>
      </c>
      <c r="BS3" s="21">
        <v>16052</v>
      </c>
      <c r="BT3" s="284">
        <v>14586.49</v>
      </c>
      <c r="BU3" s="20">
        <v>13190.84</v>
      </c>
      <c r="BV3" s="21">
        <v>14052</v>
      </c>
      <c r="BW3" s="21">
        <v>15255.43</v>
      </c>
      <c r="BX3" s="22">
        <v>18470.68</v>
      </c>
      <c r="BY3" s="20">
        <v>13190.84</v>
      </c>
      <c r="BZ3" s="21">
        <v>14052</v>
      </c>
      <c r="CA3" s="21">
        <v>15255.43</v>
      </c>
      <c r="CB3" s="22">
        <v>18470.68</v>
      </c>
      <c r="CC3" s="20">
        <v>14274</v>
      </c>
      <c r="CD3" s="21">
        <v>16274</v>
      </c>
      <c r="CE3" s="21">
        <v>17974</v>
      </c>
      <c r="CF3" s="21">
        <v>19674</v>
      </c>
      <c r="CG3" s="284">
        <v>15905</v>
      </c>
      <c r="CH3" s="20">
        <v>14558.01</v>
      </c>
      <c r="CI3" s="21">
        <v>16274</v>
      </c>
      <c r="CJ3" s="21">
        <v>17974</v>
      </c>
      <c r="CK3" s="21">
        <v>19674</v>
      </c>
      <c r="CL3" s="284">
        <v>17990.45</v>
      </c>
      <c r="CM3" s="20">
        <v>15692.86</v>
      </c>
      <c r="CN3" s="21">
        <v>16274</v>
      </c>
      <c r="CO3" s="21">
        <v>17990.45</v>
      </c>
      <c r="CP3" s="22">
        <v>19674</v>
      </c>
      <c r="CQ3" s="26">
        <v>16804</v>
      </c>
      <c r="CR3" s="27">
        <v>19304</v>
      </c>
      <c r="CS3" s="27">
        <v>20103.5</v>
      </c>
      <c r="CT3" s="27">
        <v>20903</v>
      </c>
      <c r="CU3" s="284">
        <v>18404.490000000002</v>
      </c>
      <c r="CV3" s="26">
        <v>16804</v>
      </c>
      <c r="CW3" s="27">
        <v>19304</v>
      </c>
      <c r="CX3" s="27">
        <v>21948.61</v>
      </c>
      <c r="CY3" s="27">
        <v>22364.16</v>
      </c>
      <c r="CZ3" s="286">
        <v>21494.16</v>
      </c>
      <c r="DA3" s="26">
        <v>18144</v>
      </c>
      <c r="DB3" s="27">
        <v>21144</v>
      </c>
      <c r="DC3" s="27">
        <v>24144</v>
      </c>
      <c r="DD3" s="27">
        <v>25401</v>
      </c>
      <c r="DE3" s="286">
        <v>22393.07</v>
      </c>
      <c r="DF3" s="26">
        <v>16804</v>
      </c>
      <c r="DG3" s="27">
        <v>19304</v>
      </c>
      <c r="DH3" s="27">
        <v>21346.560000000001</v>
      </c>
      <c r="DI3" s="28">
        <v>21346.560000000001</v>
      </c>
      <c r="DJ3" s="26">
        <v>17674</v>
      </c>
      <c r="DK3" s="27">
        <v>20174</v>
      </c>
      <c r="DL3" s="27">
        <v>20973.5</v>
      </c>
      <c r="DM3" s="28">
        <v>21773</v>
      </c>
      <c r="DN3" s="39">
        <v>21880</v>
      </c>
      <c r="DO3" s="40">
        <v>23880</v>
      </c>
      <c r="DP3" s="40">
        <v>25880</v>
      </c>
      <c r="DQ3" s="40">
        <v>28880</v>
      </c>
      <c r="DR3" s="40">
        <v>31880</v>
      </c>
      <c r="DS3" s="40">
        <v>32380</v>
      </c>
      <c r="DT3" s="40">
        <v>35880</v>
      </c>
      <c r="DU3" s="40">
        <v>38880</v>
      </c>
      <c r="DV3" s="40">
        <v>39570</v>
      </c>
      <c r="DW3" s="40">
        <v>42570</v>
      </c>
      <c r="DX3" s="40">
        <v>45570</v>
      </c>
      <c r="DY3" s="40">
        <v>47360</v>
      </c>
      <c r="DZ3" s="40">
        <v>50360</v>
      </c>
      <c r="EA3" s="41">
        <v>53360</v>
      </c>
    </row>
    <row r="4" spans="1:131">
      <c r="A4" s="19">
        <v>1</v>
      </c>
      <c r="B4" s="20">
        <v>15501.78</v>
      </c>
      <c r="C4" s="21">
        <v>16326.31</v>
      </c>
      <c r="D4" s="21">
        <v>17020.41</v>
      </c>
      <c r="E4" s="22">
        <v>18020.41</v>
      </c>
      <c r="F4" s="20">
        <v>15825.32</v>
      </c>
      <c r="G4" s="21">
        <v>17184.95</v>
      </c>
      <c r="H4" s="21">
        <v>18721.009999999998</v>
      </c>
      <c r="I4" s="22">
        <v>20041.009999999998</v>
      </c>
      <c r="J4" s="59">
        <v>16010.52</v>
      </c>
      <c r="K4" s="53">
        <v>16741.009999999998</v>
      </c>
      <c r="L4" s="53">
        <v>18372.310000000001</v>
      </c>
      <c r="M4" s="53">
        <v>19602.39</v>
      </c>
      <c r="N4" s="53">
        <v>20457.759999999998</v>
      </c>
      <c r="O4" s="60">
        <v>21335.42</v>
      </c>
      <c r="P4" s="79">
        <v>17725.05</v>
      </c>
      <c r="Q4" s="79">
        <v>23740.23</v>
      </c>
      <c r="R4" s="79">
        <v>24079.23</v>
      </c>
      <c r="S4" s="79">
        <v>24565.8</v>
      </c>
      <c r="T4" s="79">
        <v>17730.740000000002</v>
      </c>
      <c r="U4" s="79">
        <v>24045.7</v>
      </c>
      <c r="V4" s="79">
        <v>19448.82</v>
      </c>
      <c r="W4" s="79">
        <v>22269.62</v>
      </c>
      <c r="X4" s="20">
        <v>17045.2</v>
      </c>
      <c r="Y4" s="21">
        <v>17646.060000000001</v>
      </c>
      <c r="Z4" s="21">
        <v>17732.82</v>
      </c>
      <c r="AA4" s="21">
        <v>21866</v>
      </c>
      <c r="AB4" s="22">
        <v>23566</v>
      </c>
      <c r="AC4" s="289">
        <v>19274</v>
      </c>
      <c r="AD4" s="290">
        <v>21774</v>
      </c>
      <c r="AE4" s="290">
        <v>23774</v>
      </c>
      <c r="AF4" s="290">
        <v>25774</v>
      </c>
      <c r="AG4" s="291">
        <v>27774</v>
      </c>
      <c r="AH4" s="20">
        <v>19068.009999999998</v>
      </c>
      <c r="AI4" s="21">
        <v>20653.009999999998</v>
      </c>
      <c r="AJ4" s="21">
        <v>20928.169999999998</v>
      </c>
      <c r="AK4" s="21">
        <v>21228.12</v>
      </c>
      <c r="AL4" s="21">
        <v>27566</v>
      </c>
      <c r="AM4" s="21">
        <v>20959.400000000001</v>
      </c>
      <c r="AN4" s="22">
        <v>23636.65</v>
      </c>
      <c r="AO4" s="20">
        <v>20497.93</v>
      </c>
      <c r="AP4" s="21">
        <v>22421.78</v>
      </c>
      <c r="AQ4" s="21">
        <v>22721.7</v>
      </c>
      <c r="AR4" s="21">
        <v>23048.66</v>
      </c>
      <c r="AS4" s="21">
        <v>24048.66</v>
      </c>
      <c r="AT4" s="22">
        <v>24392.73</v>
      </c>
      <c r="AU4" s="20">
        <v>22507.25</v>
      </c>
      <c r="AV4" s="21">
        <v>25392.73</v>
      </c>
      <c r="AW4" s="21">
        <v>26632.2</v>
      </c>
      <c r="AX4" s="21">
        <v>29433.4</v>
      </c>
      <c r="AY4" s="21">
        <v>31705.59</v>
      </c>
      <c r="AZ4" s="21">
        <v>35953</v>
      </c>
      <c r="BA4" s="21">
        <v>37341.199999999997</v>
      </c>
      <c r="BB4" s="21">
        <v>38431.93</v>
      </c>
      <c r="BC4" s="22">
        <v>42398.22</v>
      </c>
      <c r="BD4" s="20">
        <v>27319.86</v>
      </c>
      <c r="BE4" s="21">
        <v>28708.06</v>
      </c>
      <c r="BF4" s="21">
        <v>30139.4</v>
      </c>
      <c r="BG4" s="21">
        <v>33607.93</v>
      </c>
      <c r="BH4" s="21">
        <v>37050.17</v>
      </c>
      <c r="BI4" s="22">
        <v>37068.03</v>
      </c>
      <c r="BJ4" s="75">
        <v>73185.81</v>
      </c>
      <c r="BK4" s="22">
        <v>65508.800000000003</v>
      </c>
      <c r="BL4" s="20">
        <v>12978</v>
      </c>
      <c r="BM4" s="21">
        <v>13778</v>
      </c>
      <c r="BN4" s="21">
        <v>14602.64</v>
      </c>
      <c r="BO4" s="22">
        <v>15602.64</v>
      </c>
      <c r="BP4" s="20">
        <v>13074</v>
      </c>
      <c r="BQ4" s="21">
        <v>14174</v>
      </c>
      <c r="BR4" s="21">
        <v>15174</v>
      </c>
      <c r="BS4" s="21">
        <v>16174</v>
      </c>
      <c r="BT4" s="284">
        <v>14805.15</v>
      </c>
      <c r="BU4" s="20">
        <v>13330.93</v>
      </c>
      <c r="BV4" s="21">
        <v>14217.98</v>
      </c>
      <c r="BW4" s="21">
        <v>15474.09</v>
      </c>
      <c r="BX4" s="22">
        <v>18689.34</v>
      </c>
      <c r="BY4" s="20">
        <v>13330.93</v>
      </c>
      <c r="BZ4" s="21">
        <v>14174</v>
      </c>
      <c r="CA4" s="21">
        <v>15474.09</v>
      </c>
      <c r="CB4" s="22">
        <v>18689.34</v>
      </c>
      <c r="CC4" s="20">
        <v>14541.01</v>
      </c>
      <c r="CD4" s="21">
        <v>16474</v>
      </c>
      <c r="CE4" s="21">
        <v>18174</v>
      </c>
      <c r="CF4" s="21">
        <v>19874</v>
      </c>
      <c r="CG4" s="284">
        <v>16172.31</v>
      </c>
      <c r="CH4" s="20">
        <v>14825.32</v>
      </c>
      <c r="CI4" s="21">
        <v>16474</v>
      </c>
      <c r="CJ4" s="21">
        <v>18174</v>
      </c>
      <c r="CK4" s="21">
        <v>19874</v>
      </c>
      <c r="CL4" s="284">
        <v>18257.759999999998</v>
      </c>
      <c r="CM4" s="20">
        <v>16004.95</v>
      </c>
      <c r="CN4" s="21">
        <v>16474</v>
      </c>
      <c r="CO4" s="21">
        <v>18257.759999999998</v>
      </c>
      <c r="CP4" s="22">
        <v>19874</v>
      </c>
      <c r="CQ4" s="26">
        <v>17057</v>
      </c>
      <c r="CR4" s="27">
        <v>19557</v>
      </c>
      <c r="CS4" s="27">
        <v>20540</v>
      </c>
      <c r="CT4" s="27">
        <v>21523</v>
      </c>
      <c r="CU4" s="284">
        <v>18656.669999999998</v>
      </c>
      <c r="CV4" s="26">
        <v>17057</v>
      </c>
      <c r="CW4" s="27">
        <v>19661</v>
      </c>
      <c r="CX4" s="27">
        <v>22241.200000000001</v>
      </c>
      <c r="CY4" s="27">
        <v>22656.75</v>
      </c>
      <c r="CZ4" s="286">
        <v>21786.75</v>
      </c>
      <c r="DA4" s="26">
        <v>18397</v>
      </c>
      <c r="DB4" s="27">
        <v>21397</v>
      </c>
      <c r="DC4" s="27">
        <v>24397</v>
      </c>
      <c r="DD4" s="27">
        <v>25773</v>
      </c>
      <c r="DE4" s="286">
        <v>22645.25</v>
      </c>
      <c r="DF4" s="26">
        <v>17057</v>
      </c>
      <c r="DG4" s="27">
        <v>19557</v>
      </c>
      <c r="DH4" s="27">
        <v>21598.74</v>
      </c>
      <c r="DI4" s="28">
        <v>21598.74</v>
      </c>
      <c r="DJ4" s="26">
        <v>17927</v>
      </c>
      <c r="DK4" s="27">
        <v>20427</v>
      </c>
      <c r="DL4" s="27">
        <v>21410</v>
      </c>
      <c r="DM4" s="28">
        <v>22393</v>
      </c>
      <c r="DN4" s="42">
        <v>22325</v>
      </c>
      <c r="DO4" s="43">
        <v>24325</v>
      </c>
      <c r="DP4" s="43">
        <v>26360</v>
      </c>
      <c r="DQ4" s="43">
        <v>29360</v>
      </c>
      <c r="DR4" s="43">
        <v>32360</v>
      </c>
      <c r="DS4" s="43">
        <v>32900</v>
      </c>
      <c r="DT4" s="43">
        <v>36400</v>
      </c>
      <c r="DU4" s="43">
        <v>39400</v>
      </c>
      <c r="DV4" s="43">
        <v>40180</v>
      </c>
      <c r="DW4" s="43">
        <v>43180</v>
      </c>
      <c r="DX4" s="43">
        <v>46180</v>
      </c>
      <c r="DY4" s="43">
        <v>47970</v>
      </c>
      <c r="DZ4" s="43">
        <v>50970</v>
      </c>
      <c r="EA4" s="44">
        <v>53970</v>
      </c>
    </row>
    <row r="5" spans="1:131">
      <c r="A5" s="19">
        <v>2</v>
      </c>
      <c r="B5" s="20">
        <v>15749.68</v>
      </c>
      <c r="C5" s="21">
        <v>16599</v>
      </c>
      <c r="D5" s="21">
        <v>17286.556</v>
      </c>
      <c r="E5" s="22">
        <v>18286.556</v>
      </c>
      <c r="F5" s="20">
        <v>16092.63</v>
      </c>
      <c r="G5" s="21">
        <v>17317.04</v>
      </c>
      <c r="H5" s="21">
        <v>18988.32</v>
      </c>
      <c r="I5" s="22">
        <v>20308.32</v>
      </c>
      <c r="J5" s="59">
        <v>16277.83</v>
      </c>
      <c r="K5" s="53">
        <v>17008.32</v>
      </c>
      <c r="L5" s="53">
        <v>18639.62</v>
      </c>
      <c r="M5" s="53">
        <v>19869.7</v>
      </c>
      <c r="N5" s="53">
        <v>20725.07</v>
      </c>
      <c r="O5" s="60">
        <v>21602.73</v>
      </c>
      <c r="P5" s="79">
        <v>17725.05</v>
      </c>
      <c r="Q5" s="79">
        <v>23740.23</v>
      </c>
      <c r="R5" s="79">
        <v>24079.23</v>
      </c>
      <c r="S5" s="79">
        <v>24565.8</v>
      </c>
      <c r="T5" s="79">
        <v>17730.740000000002</v>
      </c>
      <c r="U5" s="79">
        <v>24045.7</v>
      </c>
      <c r="V5" s="79">
        <v>19448.82</v>
      </c>
      <c r="W5" s="79">
        <v>22269.62</v>
      </c>
      <c r="X5" s="20">
        <v>17288.415250000002</v>
      </c>
      <c r="Y5" s="21">
        <v>18030.3</v>
      </c>
      <c r="Z5" s="21">
        <v>18154.240000000002</v>
      </c>
      <c r="AA5" s="21">
        <v>22066</v>
      </c>
      <c r="AB5" s="22">
        <v>23766</v>
      </c>
      <c r="AC5" s="289">
        <v>19543</v>
      </c>
      <c r="AD5" s="290">
        <v>22043</v>
      </c>
      <c r="AE5" s="290">
        <v>24043</v>
      </c>
      <c r="AF5" s="290">
        <v>26043</v>
      </c>
      <c r="AG5" s="291">
        <v>28043</v>
      </c>
      <c r="AH5" s="20">
        <v>19517.006000000001</v>
      </c>
      <c r="AI5" s="21">
        <v>21218.21</v>
      </c>
      <c r="AJ5" s="21">
        <v>21520.639999999999</v>
      </c>
      <c r="AK5" s="21">
        <v>21872.65</v>
      </c>
      <c r="AL5" s="21">
        <v>27835</v>
      </c>
      <c r="AM5" s="21">
        <v>21591.53</v>
      </c>
      <c r="AN5" s="22">
        <v>24219.200000000001</v>
      </c>
      <c r="AO5" s="20">
        <v>21081.58</v>
      </c>
      <c r="AP5" s="21">
        <v>23037.85</v>
      </c>
      <c r="AQ5" s="21">
        <v>23367.49</v>
      </c>
      <c r="AR5" s="21">
        <v>23751.200000000001</v>
      </c>
      <c r="AS5" s="21">
        <v>24751.200000000001</v>
      </c>
      <c r="AT5" s="22">
        <v>24987.68</v>
      </c>
      <c r="AU5" s="20">
        <v>22943.55</v>
      </c>
      <c r="AV5" s="21">
        <v>25987.68</v>
      </c>
      <c r="AW5" s="21">
        <v>27475.040000000001</v>
      </c>
      <c r="AX5" s="21">
        <v>30350.61</v>
      </c>
      <c r="AY5" s="21">
        <v>32672.38</v>
      </c>
      <c r="AZ5" s="21">
        <v>36895</v>
      </c>
      <c r="BA5" s="21">
        <v>38307.99</v>
      </c>
      <c r="BB5" s="21">
        <v>39919.300000000003</v>
      </c>
      <c r="BC5" s="22">
        <v>44009.53</v>
      </c>
      <c r="BD5" s="20">
        <v>27986.2</v>
      </c>
      <c r="BE5" s="21">
        <v>29652.04</v>
      </c>
      <c r="BF5" s="21">
        <v>31111.64</v>
      </c>
      <c r="BG5" s="21">
        <v>34632.730000000003</v>
      </c>
      <c r="BH5" s="21">
        <v>38048.69</v>
      </c>
      <c r="BI5" s="22">
        <v>38054.160000000003</v>
      </c>
      <c r="BJ5" s="75">
        <v>73185.81</v>
      </c>
      <c r="BK5" s="22">
        <v>65508.800000000003</v>
      </c>
      <c r="BL5" s="20">
        <v>13005</v>
      </c>
      <c r="BM5" s="21">
        <v>13805</v>
      </c>
      <c r="BN5" s="21">
        <v>14713.44</v>
      </c>
      <c r="BO5" s="22">
        <v>15713.44</v>
      </c>
      <c r="BP5" s="20">
        <v>13195</v>
      </c>
      <c r="BQ5" s="21">
        <v>14295</v>
      </c>
      <c r="BR5" s="21">
        <v>15295</v>
      </c>
      <c r="BS5" s="21">
        <v>16295</v>
      </c>
      <c r="BT5" s="284">
        <v>15023.81</v>
      </c>
      <c r="BU5" s="20">
        <v>13471.02</v>
      </c>
      <c r="BV5" s="21">
        <v>14436.64</v>
      </c>
      <c r="BW5" s="21">
        <v>15692.75</v>
      </c>
      <c r="BX5" s="22">
        <v>18908</v>
      </c>
      <c r="BY5" s="20">
        <v>13471.02</v>
      </c>
      <c r="BZ5" s="21">
        <v>14295</v>
      </c>
      <c r="CA5" s="21">
        <v>15692.75</v>
      </c>
      <c r="CB5" s="22">
        <v>18908</v>
      </c>
      <c r="CC5" s="20">
        <v>14808.32</v>
      </c>
      <c r="CD5" s="21">
        <v>16674</v>
      </c>
      <c r="CE5" s="21">
        <v>18374</v>
      </c>
      <c r="CF5" s="21">
        <v>20074</v>
      </c>
      <c r="CG5" s="284">
        <v>16439.62</v>
      </c>
      <c r="CH5" s="20">
        <v>15092.63</v>
      </c>
      <c r="CI5" s="21">
        <v>16674</v>
      </c>
      <c r="CJ5" s="21">
        <v>18374</v>
      </c>
      <c r="CK5" s="21">
        <v>20074</v>
      </c>
      <c r="CL5" s="284">
        <v>18525.07</v>
      </c>
      <c r="CM5" s="20">
        <v>16317.04</v>
      </c>
      <c r="CN5" s="21">
        <v>16674</v>
      </c>
      <c r="CO5" s="21">
        <v>18525.07</v>
      </c>
      <c r="CP5" s="22">
        <v>20074</v>
      </c>
      <c r="CQ5" s="26">
        <v>17310</v>
      </c>
      <c r="CR5" s="27">
        <v>19810</v>
      </c>
      <c r="CS5" s="27">
        <v>21094.26</v>
      </c>
      <c r="CT5" s="27">
        <v>22143</v>
      </c>
      <c r="CU5" s="284">
        <v>18908.849999999999</v>
      </c>
      <c r="CV5" s="26">
        <v>17330</v>
      </c>
      <c r="CW5" s="27">
        <v>20330</v>
      </c>
      <c r="CX5" s="27">
        <v>22533.79</v>
      </c>
      <c r="CY5" s="27">
        <v>22949.34</v>
      </c>
      <c r="CZ5" s="286">
        <v>22079.34</v>
      </c>
      <c r="DA5" s="26">
        <v>18650</v>
      </c>
      <c r="DB5" s="27">
        <v>21650</v>
      </c>
      <c r="DC5" s="27">
        <v>24650</v>
      </c>
      <c r="DD5" s="27">
        <v>26145</v>
      </c>
      <c r="DE5" s="286">
        <v>22897.43</v>
      </c>
      <c r="DF5" s="26">
        <v>17330</v>
      </c>
      <c r="DG5" s="27">
        <v>19810</v>
      </c>
      <c r="DH5" s="27">
        <v>21850.92</v>
      </c>
      <c r="DI5" s="28">
        <v>22143</v>
      </c>
      <c r="DJ5" s="26">
        <v>18180</v>
      </c>
      <c r="DK5" s="27">
        <v>20680</v>
      </c>
      <c r="DL5" s="27">
        <v>21846.5</v>
      </c>
      <c r="DM5" s="28">
        <v>23013</v>
      </c>
      <c r="DN5" s="39">
        <v>22770</v>
      </c>
      <c r="DO5" s="40">
        <v>24770</v>
      </c>
      <c r="DP5" s="40">
        <v>26840</v>
      </c>
      <c r="DQ5" s="40">
        <v>29840</v>
      </c>
      <c r="DR5" s="40">
        <v>32840</v>
      </c>
      <c r="DS5" s="40">
        <v>33420</v>
      </c>
      <c r="DT5" s="40">
        <v>36920</v>
      </c>
      <c r="DU5" s="40">
        <v>39920</v>
      </c>
      <c r="DV5" s="40">
        <v>40790</v>
      </c>
      <c r="DW5" s="40">
        <v>43790</v>
      </c>
      <c r="DX5" s="40">
        <v>46790</v>
      </c>
      <c r="DY5" s="40">
        <v>48580</v>
      </c>
      <c r="DZ5" s="40">
        <v>51580</v>
      </c>
      <c r="EA5" s="41">
        <v>54580</v>
      </c>
    </row>
    <row r="6" spans="1:131">
      <c r="A6" s="19">
        <v>3</v>
      </c>
      <c r="B6" s="20">
        <v>15997.58</v>
      </c>
      <c r="C6" s="21">
        <v>16871.690000000002</v>
      </c>
      <c r="D6" s="21">
        <v>17534.53</v>
      </c>
      <c r="E6" s="22">
        <v>18714.53</v>
      </c>
      <c r="F6" s="20">
        <v>16539.940000000002</v>
      </c>
      <c r="G6" s="21">
        <v>17629.13</v>
      </c>
      <c r="H6" s="21">
        <v>19255.63</v>
      </c>
      <c r="I6" s="22">
        <v>20575.63</v>
      </c>
      <c r="J6" s="59">
        <v>16545.14</v>
      </c>
      <c r="K6" s="53">
        <v>17275.63</v>
      </c>
      <c r="L6" s="53">
        <v>18906.93</v>
      </c>
      <c r="M6" s="53">
        <v>20137.009999999998</v>
      </c>
      <c r="N6" s="53">
        <v>20992.38</v>
      </c>
      <c r="O6" s="60">
        <v>21870.04</v>
      </c>
      <c r="P6" s="79">
        <v>17725.05</v>
      </c>
      <c r="Q6" s="79">
        <v>23740.23</v>
      </c>
      <c r="R6" s="79">
        <v>24079.23</v>
      </c>
      <c r="S6" s="79">
        <v>24565.8</v>
      </c>
      <c r="T6" s="79">
        <v>17730.740000000002</v>
      </c>
      <c r="U6" s="79">
        <v>24045.7</v>
      </c>
      <c r="V6" s="79">
        <v>19448.82</v>
      </c>
      <c r="W6" s="79">
        <v>22269.62</v>
      </c>
      <c r="X6" s="20">
        <v>17559.32</v>
      </c>
      <c r="Y6" s="21">
        <v>18594.54</v>
      </c>
      <c r="Z6" s="21">
        <v>18755.66</v>
      </c>
      <c r="AA6" s="21">
        <v>22265</v>
      </c>
      <c r="AB6" s="22">
        <v>23965</v>
      </c>
      <c r="AC6" s="289">
        <v>19813</v>
      </c>
      <c r="AD6" s="290">
        <v>22313</v>
      </c>
      <c r="AE6" s="290">
        <v>24313</v>
      </c>
      <c r="AF6" s="290">
        <v>26313</v>
      </c>
      <c r="AG6" s="291">
        <v>28313</v>
      </c>
      <c r="AH6" s="20">
        <v>19958.93</v>
      </c>
      <c r="AI6" s="21">
        <v>21783.41</v>
      </c>
      <c r="AJ6" s="21">
        <v>22113.11</v>
      </c>
      <c r="AK6" s="21">
        <v>22517.18</v>
      </c>
      <c r="AL6" s="21">
        <v>28105</v>
      </c>
      <c r="AM6" s="21">
        <v>22211.27</v>
      </c>
      <c r="AN6" s="22">
        <v>24801.75</v>
      </c>
      <c r="AO6" s="20">
        <v>21665.23</v>
      </c>
      <c r="AP6" s="21">
        <v>23653.919999999998</v>
      </c>
      <c r="AQ6" s="21">
        <v>24013.279999999999</v>
      </c>
      <c r="AR6" s="21">
        <v>24453.74</v>
      </c>
      <c r="AS6" s="21">
        <v>25453.74</v>
      </c>
      <c r="AT6" s="22">
        <v>25582.63</v>
      </c>
      <c r="AU6" s="20">
        <v>23379.85</v>
      </c>
      <c r="AV6" s="21">
        <v>26582.63</v>
      </c>
      <c r="AW6" s="21">
        <v>28317.88</v>
      </c>
      <c r="AX6" s="21">
        <v>31267.82</v>
      </c>
      <c r="AY6" s="21">
        <v>33639.17</v>
      </c>
      <c r="AZ6" s="21">
        <v>37837</v>
      </c>
      <c r="BA6" s="21">
        <v>39274.78</v>
      </c>
      <c r="BB6" s="21">
        <v>39919.300000000003</v>
      </c>
      <c r="BC6" s="22">
        <v>44009.53</v>
      </c>
      <c r="BD6" s="20">
        <v>28652.54</v>
      </c>
      <c r="BE6" s="21">
        <v>30596.02</v>
      </c>
      <c r="BF6" s="21">
        <v>32083.88</v>
      </c>
      <c r="BG6" s="21">
        <v>35657.53</v>
      </c>
      <c r="BH6" s="21">
        <v>39047.21</v>
      </c>
      <c r="BI6" s="22">
        <v>39040.29</v>
      </c>
      <c r="BJ6" s="75">
        <v>73185.81</v>
      </c>
      <c r="BK6" s="22">
        <v>65508.800000000003</v>
      </c>
      <c r="BL6" s="20">
        <v>13032</v>
      </c>
      <c r="BM6" s="21">
        <v>13832</v>
      </c>
      <c r="BN6" s="21">
        <v>14824.34</v>
      </c>
      <c r="BO6" s="22">
        <v>15824.34</v>
      </c>
      <c r="BP6" s="20">
        <v>13317</v>
      </c>
      <c r="BQ6" s="21">
        <v>14417</v>
      </c>
      <c r="BR6" s="21">
        <v>15417</v>
      </c>
      <c r="BS6" s="21">
        <v>16417</v>
      </c>
      <c r="BT6" s="284">
        <v>15242.47</v>
      </c>
      <c r="BU6" s="20">
        <v>13611.11</v>
      </c>
      <c r="BV6" s="21">
        <v>14655.3</v>
      </c>
      <c r="BW6" s="21">
        <v>15911.41</v>
      </c>
      <c r="BX6" s="22">
        <v>19126.66</v>
      </c>
      <c r="BY6" s="20">
        <v>13611.11</v>
      </c>
      <c r="BZ6" s="21">
        <v>14417</v>
      </c>
      <c r="CA6" s="21">
        <v>15911.41</v>
      </c>
      <c r="CB6" s="22">
        <v>19126.66</v>
      </c>
      <c r="CC6" s="20">
        <v>15075.63</v>
      </c>
      <c r="CD6" s="21">
        <v>16873</v>
      </c>
      <c r="CE6" s="21">
        <v>18573</v>
      </c>
      <c r="CF6" s="21">
        <v>20273</v>
      </c>
      <c r="CG6" s="284">
        <v>16706.93</v>
      </c>
      <c r="CH6" s="20">
        <v>15359.94</v>
      </c>
      <c r="CI6" s="21">
        <v>16873</v>
      </c>
      <c r="CJ6" s="21">
        <v>18573</v>
      </c>
      <c r="CK6" s="21">
        <v>20273</v>
      </c>
      <c r="CL6" s="284">
        <v>18792.38</v>
      </c>
      <c r="CM6" s="20">
        <v>16629.13</v>
      </c>
      <c r="CN6" s="21">
        <v>16873</v>
      </c>
      <c r="CO6" s="21">
        <v>18792.38</v>
      </c>
      <c r="CP6" s="22">
        <v>20273</v>
      </c>
      <c r="CQ6" s="26">
        <v>17660</v>
      </c>
      <c r="CR6" s="27">
        <v>20063</v>
      </c>
      <c r="CS6" s="27">
        <v>21784</v>
      </c>
      <c r="CT6" s="27">
        <v>22763</v>
      </c>
      <c r="CU6" s="284">
        <v>19161.03</v>
      </c>
      <c r="CV6" s="26">
        <v>17999</v>
      </c>
      <c r="CW6" s="27">
        <v>20999</v>
      </c>
      <c r="CX6" s="27">
        <v>22826.38</v>
      </c>
      <c r="CY6" s="27">
        <v>23241.93</v>
      </c>
      <c r="CZ6" s="286">
        <v>22371.93</v>
      </c>
      <c r="DA6" s="26">
        <v>18903</v>
      </c>
      <c r="DB6" s="27">
        <v>21903</v>
      </c>
      <c r="DC6" s="27">
        <v>24903</v>
      </c>
      <c r="DD6" s="27">
        <v>26517</v>
      </c>
      <c r="DE6" s="286">
        <v>23149.61</v>
      </c>
      <c r="DF6" s="26">
        <v>17999</v>
      </c>
      <c r="DG6" s="27">
        <v>20063</v>
      </c>
      <c r="DH6" s="27">
        <v>22103.1</v>
      </c>
      <c r="DI6" s="28">
        <v>22763</v>
      </c>
      <c r="DJ6" s="26">
        <v>18433</v>
      </c>
      <c r="DK6" s="27">
        <v>20933</v>
      </c>
      <c r="DL6" s="27">
        <v>22283</v>
      </c>
      <c r="DM6" s="28">
        <v>23633</v>
      </c>
      <c r="DN6" s="42">
        <v>23215</v>
      </c>
      <c r="DO6" s="43">
        <v>25215</v>
      </c>
      <c r="DP6" s="43">
        <v>27320</v>
      </c>
      <c r="DQ6" s="43">
        <v>30320</v>
      </c>
      <c r="DR6" s="43">
        <v>33320</v>
      </c>
      <c r="DS6" s="43">
        <v>33940</v>
      </c>
      <c r="DT6" s="43">
        <v>37440</v>
      </c>
      <c r="DU6" s="43">
        <v>40440</v>
      </c>
      <c r="DV6" s="43">
        <v>41400</v>
      </c>
      <c r="DW6" s="43">
        <v>44400</v>
      </c>
      <c r="DX6" s="43">
        <v>47400</v>
      </c>
      <c r="DY6" s="43">
        <v>49190</v>
      </c>
      <c r="DZ6" s="43">
        <v>52190</v>
      </c>
      <c r="EA6" s="44">
        <v>55190</v>
      </c>
    </row>
    <row r="7" spans="1:131">
      <c r="A7" s="19">
        <v>4</v>
      </c>
      <c r="B7" s="20">
        <v>16425.48</v>
      </c>
      <c r="C7" s="21">
        <v>17144.379999999997</v>
      </c>
      <c r="D7" s="21">
        <v>17881.59</v>
      </c>
      <c r="E7" s="22">
        <v>19061.59</v>
      </c>
      <c r="F7" s="20">
        <v>16539.940000000002</v>
      </c>
      <c r="G7" s="21">
        <v>17629.13</v>
      </c>
      <c r="H7" s="21">
        <v>19255.63</v>
      </c>
      <c r="I7" s="22">
        <v>20575.63</v>
      </c>
      <c r="J7" s="59">
        <v>16545.14</v>
      </c>
      <c r="K7" s="53">
        <v>17275.63</v>
      </c>
      <c r="L7" s="53">
        <v>18906.93</v>
      </c>
      <c r="M7" s="53">
        <v>20137.009999999998</v>
      </c>
      <c r="N7" s="53">
        <v>20992.38</v>
      </c>
      <c r="O7" s="60">
        <v>21870.04</v>
      </c>
      <c r="P7" s="79">
        <v>17725.05</v>
      </c>
      <c r="Q7" s="79">
        <v>23740.23</v>
      </c>
      <c r="R7" s="79">
        <v>24079.23</v>
      </c>
      <c r="S7" s="79">
        <v>24565.8</v>
      </c>
      <c r="T7" s="79">
        <v>17730.740000000002</v>
      </c>
      <c r="U7" s="79">
        <v>24045.7</v>
      </c>
      <c r="V7" s="79">
        <v>19448.82</v>
      </c>
      <c r="W7" s="79">
        <v>22269.62</v>
      </c>
      <c r="X7" s="20">
        <v>17906.38</v>
      </c>
      <c r="Y7" s="21">
        <v>18978.78</v>
      </c>
      <c r="Z7" s="21">
        <v>19177.080000000002</v>
      </c>
      <c r="AA7" s="21">
        <v>22465</v>
      </c>
      <c r="AB7" s="22">
        <v>24165</v>
      </c>
      <c r="AC7" s="289">
        <v>20083</v>
      </c>
      <c r="AD7" s="290">
        <v>22583</v>
      </c>
      <c r="AE7" s="290">
        <v>24583</v>
      </c>
      <c r="AF7" s="290">
        <v>26583</v>
      </c>
      <c r="AG7" s="291">
        <v>28583</v>
      </c>
      <c r="AH7" s="20">
        <v>20494.39</v>
      </c>
      <c r="AI7" s="21">
        <v>22348.61</v>
      </c>
      <c r="AJ7" s="21">
        <v>22705.58</v>
      </c>
      <c r="AK7" s="21">
        <v>23161.71</v>
      </c>
      <c r="AL7" s="21">
        <v>28375</v>
      </c>
      <c r="AM7" s="21">
        <v>22831.01</v>
      </c>
      <c r="AN7" s="22">
        <v>25384.3</v>
      </c>
      <c r="AO7" s="20">
        <v>22248.880000000001</v>
      </c>
      <c r="AP7" s="21">
        <v>24269.99</v>
      </c>
      <c r="AQ7" s="21">
        <v>24659.07</v>
      </c>
      <c r="AR7" s="21">
        <v>25156.28</v>
      </c>
      <c r="AS7" s="21">
        <v>26156.28</v>
      </c>
      <c r="AT7" s="22">
        <v>26177.58</v>
      </c>
      <c r="AU7" s="20">
        <v>23816.15</v>
      </c>
      <c r="AV7" s="21">
        <v>27177.58</v>
      </c>
      <c r="AW7" s="21">
        <v>29160.720000000001</v>
      </c>
      <c r="AX7" s="21">
        <v>32185.03</v>
      </c>
      <c r="AY7" s="21">
        <v>34605.96</v>
      </c>
      <c r="AZ7" s="21">
        <v>38779</v>
      </c>
      <c r="BA7" s="21">
        <v>40241.57</v>
      </c>
      <c r="BB7" s="21">
        <v>41406.67</v>
      </c>
      <c r="BC7" s="22">
        <v>45620.84</v>
      </c>
      <c r="BD7" s="20">
        <v>29318.880000000001</v>
      </c>
      <c r="BE7" s="21">
        <v>31540</v>
      </c>
      <c r="BF7" s="21">
        <v>33056.120000000003</v>
      </c>
      <c r="BG7" s="21">
        <v>36682.33</v>
      </c>
      <c r="BH7" s="21">
        <v>40045.730000000003</v>
      </c>
      <c r="BI7" s="22">
        <v>40026.42</v>
      </c>
      <c r="BJ7" s="75">
        <v>73185.81</v>
      </c>
      <c r="BK7" s="22">
        <v>65508.800000000003</v>
      </c>
      <c r="BL7" s="20">
        <v>13059</v>
      </c>
      <c r="BM7" s="21">
        <v>13859</v>
      </c>
      <c r="BN7" s="21">
        <v>14824.34</v>
      </c>
      <c r="BO7" s="22">
        <v>15824.34</v>
      </c>
      <c r="BP7" s="20">
        <v>13439</v>
      </c>
      <c r="BQ7" s="21">
        <v>14539</v>
      </c>
      <c r="BR7" s="21">
        <v>15539</v>
      </c>
      <c r="BS7" s="21">
        <v>16539</v>
      </c>
      <c r="BT7" s="284">
        <v>15242.47</v>
      </c>
      <c r="BU7" s="20">
        <v>13611.11</v>
      </c>
      <c r="BV7" s="21">
        <v>14655.3</v>
      </c>
      <c r="BW7" s="21">
        <v>15911.41</v>
      </c>
      <c r="BX7" s="22">
        <v>19126.66</v>
      </c>
      <c r="BY7" s="20">
        <v>13611.11</v>
      </c>
      <c r="BZ7" s="21">
        <v>14539</v>
      </c>
      <c r="CA7" s="21">
        <v>15911.41</v>
      </c>
      <c r="CB7" s="22">
        <v>19126.66</v>
      </c>
      <c r="CC7" s="20">
        <v>15075.63</v>
      </c>
      <c r="CD7" s="21">
        <v>17073</v>
      </c>
      <c r="CE7" s="21">
        <v>18773</v>
      </c>
      <c r="CF7" s="21">
        <v>20473</v>
      </c>
      <c r="CG7" s="284">
        <v>16706.93</v>
      </c>
      <c r="CH7" s="20">
        <v>15359.94</v>
      </c>
      <c r="CI7" s="21">
        <v>17073</v>
      </c>
      <c r="CJ7" s="21">
        <v>18773</v>
      </c>
      <c r="CK7" s="21">
        <v>20473</v>
      </c>
      <c r="CL7" s="284">
        <v>18792.38</v>
      </c>
      <c r="CM7" s="20">
        <v>16629.13</v>
      </c>
      <c r="CN7" s="21">
        <v>17073</v>
      </c>
      <c r="CO7" s="21">
        <v>18792.38</v>
      </c>
      <c r="CP7" s="22">
        <v>20473</v>
      </c>
      <c r="CQ7" s="26">
        <v>17660</v>
      </c>
      <c r="CR7" s="27">
        <v>20063</v>
      </c>
      <c r="CS7" s="27">
        <v>21784</v>
      </c>
      <c r="CT7" s="27">
        <v>22763</v>
      </c>
      <c r="CU7" s="284">
        <v>19161.03</v>
      </c>
      <c r="CV7" s="26">
        <v>17999</v>
      </c>
      <c r="CW7" s="27">
        <v>20999</v>
      </c>
      <c r="CX7" s="27">
        <v>22826.38</v>
      </c>
      <c r="CY7" s="27">
        <v>23241.93</v>
      </c>
      <c r="CZ7" s="286">
        <v>22371.93</v>
      </c>
      <c r="DA7" s="26">
        <v>18903</v>
      </c>
      <c r="DB7" s="27">
        <v>21903</v>
      </c>
      <c r="DC7" s="27">
        <v>24903</v>
      </c>
      <c r="DD7" s="27">
        <v>26517</v>
      </c>
      <c r="DE7" s="286">
        <v>23149.61</v>
      </c>
      <c r="DF7" s="26">
        <v>17999</v>
      </c>
      <c r="DG7" s="27">
        <v>20063</v>
      </c>
      <c r="DH7" s="27">
        <v>22103.1</v>
      </c>
      <c r="DI7" s="28">
        <v>22763</v>
      </c>
      <c r="DJ7" s="26">
        <v>18433</v>
      </c>
      <c r="DK7" s="27">
        <v>20933</v>
      </c>
      <c r="DL7" s="27">
        <v>22283</v>
      </c>
      <c r="DM7" s="28">
        <v>23633</v>
      </c>
      <c r="DN7" s="39">
        <v>23660</v>
      </c>
      <c r="DO7" s="40">
        <v>25660</v>
      </c>
      <c r="DP7" s="40">
        <v>27800</v>
      </c>
      <c r="DQ7" s="40">
        <v>30800</v>
      </c>
      <c r="DR7" s="40">
        <v>33800</v>
      </c>
      <c r="DS7" s="40">
        <v>34460</v>
      </c>
      <c r="DT7" s="40">
        <v>37960</v>
      </c>
      <c r="DU7" s="40">
        <v>40960</v>
      </c>
      <c r="DV7" s="40">
        <v>42010</v>
      </c>
      <c r="DW7" s="40">
        <v>45010</v>
      </c>
      <c r="DX7" s="40">
        <v>48010</v>
      </c>
      <c r="DY7" s="40">
        <v>49800</v>
      </c>
      <c r="DZ7" s="40">
        <v>52800</v>
      </c>
      <c r="EA7" s="41">
        <v>55800</v>
      </c>
    </row>
    <row r="8" spans="1:131">
      <c r="A8" s="19">
        <v>5</v>
      </c>
      <c r="B8" s="20">
        <v>16673.379999999997</v>
      </c>
      <c r="C8" s="21">
        <v>17290.276000000002</v>
      </c>
      <c r="D8" s="21">
        <v>18228.650000000001</v>
      </c>
      <c r="E8" s="22">
        <v>19408.650000000001</v>
      </c>
      <c r="F8" s="20">
        <v>16896.28</v>
      </c>
      <c r="G8" s="21">
        <v>18164.259999999998</v>
      </c>
      <c r="H8" s="21">
        <v>19517.643500000002</v>
      </c>
      <c r="I8" s="22">
        <v>20931.97</v>
      </c>
      <c r="J8" s="59">
        <v>16812.45</v>
      </c>
      <c r="K8" s="53">
        <v>17631.97</v>
      </c>
      <c r="L8" s="53">
        <v>19619.57</v>
      </c>
      <c r="M8" s="53">
        <v>20849.650000000001</v>
      </c>
      <c r="N8" s="53">
        <v>21348.720000000001</v>
      </c>
      <c r="O8" s="60">
        <v>22226.38</v>
      </c>
      <c r="P8" s="79">
        <v>17725.05</v>
      </c>
      <c r="Q8" s="79">
        <v>23740.23</v>
      </c>
      <c r="R8" s="79">
        <v>24079.23</v>
      </c>
      <c r="S8" s="79">
        <v>24565.8</v>
      </c>
      <c r="T8" s="79">
        <v>17730.740000000002</v>
      </c>
      <c r="U8" s="79">
        <v>24045.7</v>
      </c>
      <c r="V8" s="79">
        <v>19448.82</v>
      </c>
      <c r="W8" s="79">
        <v>22269.62</v>
      </c>
      <c r="X8" s="20">
        <v>18253.439999999999</v>
      </c>
      <c r="Y8" s="21">
        <v>19363.02</v>
      </c>
      <c r="Z8" s="21">
        <v>19516.633249999999</v>
      </c>
      <c r="AA8" s="21">
        <v>22665</v>
      </c>
      <c r="AB8" s="22">
        <v>24365</v>
      </c>
      <c r="AC8" s="289">
        <v>20352</v>
      </c>
      <c r="AD8" s="290">
        <v>22852</v>
      </c>
      <c r="AE8" s="290">
        <v>24852</v>
      </c>
      <c r="AF8" s="290">
        <v>26852</v>
      </c>
      <c r="AG8" s="291">
        <v>28852</v>
      </c>
      <c r="AH8" s="20">
        <v>21029.85</v>
      </c>
      <c r="AI8" s="21">
        <v>22913.81</v>
      </c>
      <c r="AJ8" s="21">
        <v>23298.05</v>
      </c>
      <c r="AK8" s="21">
        <v>23806.240000000002</v>
      </c>
      <c r="AL8" s="21">
        <v>28644</v>
      </c>
      <c r="AM8" s="21">
        <v>23450.75</v>
      </c>
      <c r="AN8" s="22">
        <v>25966.85</v>
      </c>
      <c r="AO8" s="20">
        <v>22832.53</v>
      </c>
      <c r="AP8" s="21">
        <v>24886.06</v>
      </c>
      <c r="AQ8" s="21">
        <v>25304.86</v>
      </c>
      <c r="AR8" s="21">
        <v>25858.82</v>
      </c>
      <c r="AS8" s="21">
        <v>26858.82</v>
      </c>
      <c r="AT8" s="22">
        <v>26772.53</v>
      </c>
      <c r="AU8" s="20">
        <v>24252.45</v>
      </c>
      <c r="AV8" s="21">
        <v>27772.53</v>
      </c>
      <c r="AW8" s="21">
        <v>30003.56</v>
      </c>
      <c r="AX8" s="21">
        <v>33102.240000000005</v>
      </c>
      <c r="AY8" s="21">
        <v>35572.75</v>
      </c>
      <c r="AZ8" s="21">
        <v>39721</v>
      </c>
      <c r="BA8" s="21">
        <v>41208.36</v>
      </c>
      <c r="BB8" s="21">
        <v>41406.67</v>
      </c>
      <c r="BC8" s="22">
        <v>45620.84</v>
      </c>
      <c r="BD8" s="20">
        <v>29985.22</v>
      </c>
      <c r="BE8" s="21">
        <v>32483.98</v>
      </c>
      <c r="BF8" s="21">
        <v>34028.36</v>
      </c>
      <c r="BG8" s="21">
        <v>37707.129999999997</v>
      </c>
      <c r="BH8" s="21">
        <v>41044.25</v>
      </c>
      <c r="BI8" s="22">
        <v>41012.550000000003</v>
      </c>
      <c r="BJ8" s="75">
        <v>73185.81</v>
      </c>
      <c r="BK8" s="22">
        <v>65508.800000000003</v>
      </c>
      <c r="BL8" s="20">
        <v>13086</v>
      </c>
      <c r="BM8" s="21">
        <v>13886</v>
      </c>
      <c r="BN8" s="21">
        <v>14883.68</v>
      </c>
      <c r="BO8" s="22">
        <v>15883.68</v>
      </c>
      <c r="BP8" s="20">
        <v>13561</v>
      </c>
      <c r="BQ8" s="21">
        <v>14661</v>
      </c>
      <c r="BR8" s="21">
        <v>15661</v>
      </c>
      <c r="BS8" s="21">
        <v>16661</v>
      </c>
      <c r="BT8" s="284">
        <v>15509.26</v>
      </c>
      <c r="BU8" s="20">
        <v>13832.38</v>
      </c>
      <c r="BV8" s="21">
        <v>14868.8</v>
      </c>
      <c r="BW8" s="21">
        <v>16178.2</v>
      </c>
      <c r="BX8" s="22">
        <v>19393.45</v>
      </c>
      <c r="BY8" s="20">
        <v>13832.38</v>
      </c>
      <c r="BZ8" s="21">
        <v>14661</v>
      </c>
      <c r="CA8" s="21">
        <v>16178.2</v>
      </c>
      <c r="CB8" s="22">
        <v>19393.45</v>
      </c>
      <c r="CC8" s="20">
        <v>15431.97</v>
      </c>
      <c r="CD8" s="21">
        <v>17273</v>
      </c>
      <c r="CE8" s="21">
        <v>18973</v>
      </c>
      <c r="CF8" s="21">
        <v>20673</v>
      </c>
      <c r="CG8" s="284">
        <v>17063.27</v>
      </c>
      <c r="CH8" s="20">
        <v>15716.28</v>
      </c>
      <c r="CI8" s="21">
        <v>17416.28</v>
      </c>
      <c r="CJ8" s="21">
        <v>18973</v>
      </c>
      <c r="CK8" s="21">
        <v>20673</v>
      </c>
      <c r="CL8" s="284">
        <v>19148.72</v>
      </c>
      <c r="CM8" s="20">
        <v>17164.259999999998</v>
      </c>
      <c r="CN8" s="21">
        <v>17273</v>
      </c>
      <c r="CO8" s="21">
        <v>19148.72</v>
      </c>
      <c r="CP8" s="22">
        <v>20673</v>
      </c>
      <c r="CQ8" s="26">
        <v>18273.439999999999</v>
      </c>
      <c r="CR8" s="27">
        <v>20356</v>
      </c>
      <c r="CS8" s="27">
        <v>22397.439999999999</v>
      </c>
      <c r="CT8" s="27">
        <v>23556</v>
      </c>
      <c r="CU8" s="284">
        <v>19551.07</v>
      </c>
      <c r="CV8" s="26">
        <v>18594</v>
      </c>
      <c r="CW8" s="27">
        <v>21594</v>
      </c>
      <c r="CX8" s="27">
        <v>23118.97</v>
      </c>
      <c r="CY8" s="27">
        <v>23556</v>
      </c>
      <c r="CZ8" s="286">
        <v>22664.52</v>
      </c>
      <c r="DA8" s="26">
        <v>19196</v>
      </c>
      <c r="DB8" s="27">
        <v>22196</v>
      </c>
      <c r="DC8" s="27">
        <v>25196</v>
      </c>
      <c r="DD8" s="27">
        <v>26810</v>
      </c>
      <c r="DE8" s="286">
        <v>23539.65</v>
      </c>
      <c r="DF8" s="26">
        <v>18594</v>
      </c>
      <c r="DG8" s="27">
        <v>20356</v>
      </c>
      <c r="DH8" s="27">
        <v>22397.439999999999</v>
      </c>
      <c r="DI8" s="28">
        <v>23556</v>
      </c>
      <c r="DJ8" s="26">
        <v>18726</v>
      </c>
      <c r="DK8" s="27">
        <v>21226</v>
      </c>
      <c r="DL8" s="27">
        <v>22826</v>
      </c>
      <c r="DM8" s="28">
        <v>24426</v>
      </c>
      <c r="DN8" s="42">
        <v>24105</v>
      </c>
      <c r="DO8" s="43">
        <v>26105</v>
      </c>
      <c r="DP8" s="43">
        <v>28280</v>
      </c>
      <c r="DQ8" s="43">
        <v>31280</v>
      </c>
      <c r="DR8" s="43">
        <v>34280</v>
      </c>
      <c r="DS8" s="43">
        <v>34980</v>
      </c>
      <c r="DT8" s="43">
        <v>38480</v>
      </c>
      <c r="DU8" s="43">
        <v>41480</v>
      </c>
      <c r="DV8" s="43">
        <v>42620</v>
      </c>
      <c r="DW8" s="43">
        <v>45620</v>
      </c>
      <c r="DX8" s="43">
        <v>48620</v>
      </c>
      <c r="DY8" s="43">
        <v>50410</v>
      </c>
      <c r="DZ8" s="43">
        <v>53410</v>
      </c>
      <c r="EA8" s="44">
        <v>56410</v>
      </c>
    </row>
    <row r="9" spans="1:131">
      <c r="A9" s="19">
        <v>6</v>
      </c>
      <c r="B9" s="20">
        <v>16921.28</v>
      </c>
      <c r="C9" s="21">
        <v>17509.759999999998</v>
      </c>
      <c r="D9" s="21">
        <v>18755.71</v>
      </c>
      <c r="E9" s="22">
        <v>19755.71</v>
      </c>
      <c r="F9" s="20">
        <v>16896.28</v>
      </c>
      <c r="G9" s="21">
        <v>18164.259999999998</v>
      </c>
      <c r="H9" s="21">
        <v>19517.643500000002</v>
      </c>
      <c r="I9" s="22">
        <v>20931.97</v>
      </c>
      <c r="J9" s="59">
        <v>16812.45</v>
      </c>
      <c r="K9" s="53">
        <v>17631.97</v>
      </c>
      <c r="L9" s="53">
        <v>19619.57</v>
      </c>
      <c r="M9" s="53">
        <v>20849.650000000001</v>
      </c>
      <c r="N9" s="53">
        <v>21348.720000000001</v>
      </c>
      <c r="O9" s="60">
        <v>22226.38</v>
      </c>
      <c r="P9" s="79">
        <v>17725.05</v>
      </c>
      <c r="Q9" s="79">
        <v>23740.23</v>
      </c>
      <c r="R9" s="79">
        <v>24079.23</v>
      </c>
      <c r="S9" s="79">
        <v>24565.8</v>
      </c>
      <c r="T9" s="79">
        <v>17730.740000000002</v>
      </c>
      <c r="U9" s="79">
        <v>24045.7</v>
      </c>
      <c r="V9" s="79">
        <v>19448.82</v>
      </c>
      <c r="W9" s="79">
        <v>22269.62</v>
      </c>
      <c r="X9" s="20">
        <v>18780.5</v>
      </c>
      <c r="Y9" s="21">
        <v>19567.259999999998</v>
      </c>
      <c r="Z9" s="21">
        <v>19839.919999999998</v>
      </c>
      <c r="AA9" s="21">
        <v>22865</v>
      </c>
      <c r="AB9" s="22">
        <v>24565</v>
      </c>
      <c r="AC9" s="289">
        <v>20622</v>
      </c>
      <c r="AD9" s="290">
        <v>23122</v>
      </c>
      <c r="AE9" s="290">
        <v>25122</v>
      </c>
      <c r="AF9" s="290">
        <v>27122</v>
      </c>
      <c r="AG9" s="291">
        <v>29122</v>
      </c>
      <c r="AH9" s="20">
        <v>21565.31</v>
      </c>
      <c r="AI9" s="21">
        <v>23479.01</v>
      </c>
      <c r="AJ9" s="21">
        <v>23890.52</v>
      </c>
      <c r="AK9" s="21">
        <v>24450.77</v>
      </c>
      <c r="AL9" s="21">
        <v>28914</v>
      </c>
      <c r="AM9" s="21">
        <v>24070.49</v>
      </c>
      <c r="AN9" s="22">
        <v>26549.4</v>
      </c>
      <c r="AO9" s="20">
        <v>23416.18</v>
      </c>
      <c r="AP9" s="21">
        <v>25502.13</v>
      </c>
      <c r="AQ9" s="21">
        <v>25950.65</v>
      </c>
      <c r="AR9" s="21">
        <v>26561.360000000001</v>
      </c>
      <c r="AS9" s="21">
        <v>27561.360000000001</v>
      </c>
      <c r="AT9" s="22">
        <v>27367.48</v>
      </c>
      <c r="AU9" s="20">
        <v>24688.75</v>
      </c>
      <c r="AV9" s="21">
        <v>28367.48</v>
      </c>
      <c r="AW9" s="21">
        <v>30846.400000000001</v>
      </c>
      <c r="AX9" s="21">
        <v>34019.449999999997</v>
      </c>
      <c r="AY9" s="21">
        <v>36539.54</v>
      </c>
      <c r="AZ9" s="21">
        <v>40663</v>
      </c>
      <c r="BA9" s="21">
        <v>42175.15</v>
      </c>
      <c r="BB9" s="21">
        <v>42894.04</v>
      </c>
      <c r="BC9" s="22">
        <v>47232.15</v>
      </c>
      <c r="BD9" s="20">
        <v>30651.56</v>
      </c>
      <c r="BE9" s="21">
        <v>33427.96</v>
      </c>
      <c r="BF9" s="21">
        <v>35000.6</v>
      </c>
      <c r="BG9" s="21">
        <v>38731.93</v>
      </c>
      <c r="BH9" s="21">
        <v>42042.77</v>
      </c>
      <c r="BI9" s="22">
        <v>41998.68</v>
      </c>
      <c r="BJ9" s="75">
        <v>73185.81</v>
      </c>
      <c r="BK9" s="22">
        <v>65508.800000000003</v>
      </c>
      <c r="BL9" s="20">
        <v>13113</v>
      </c>
      <c r="BM9" s="21">
        <v>13913</v>
      </c>
      <c r="BN9" s="21">
        <v>14883.68</v>
      </c>
      <c r="BO9" s="22">
        <v>15883.68</v>
      </c>
      <c r="BP9" s="20">
        <v>13682</v>
      </c>
      <c r="BQ9" s="21">
        <v>14782</v>
      </c>
      <c r="BR9" s="21">
        <v>15782</v>
      </c>
      <c r="BS9" s="21">
        <v>16782</v>
      </c>
      <c r="BT9" s="284">
        <v>15509.26</v>
      </c>
      <c r="BU9" s="20">
        <v>13832.38</v>
      </c>
      <c r="BV9" s="21">
        <v>14868.8</v>
      </c>
      <c r="BW9" s="21">
        <v>16178.2</v>
      </c>
      <c r="BX9" s="22">
        <v>19393.45</v>
      </c>
      <c r="BY9" s="20">
        <v>13832.38</v>
      </c>
      <c r="BZ9" s="21">
        <v>14782</v>
      </c>
      <c r="CA9" s="21">
        <v>16178.2</v>
      </c>
      <c r="CB9" s="22">
        <v>19393.45</v>
      </c>
      <c r="CC9" s="20">
        <v>15473</v>
      </c>
      <c r="CD9" s="21">
        <v>17473</v>
      </c>
      <c r="CE9" s="21">
        <v>19173</v>
      </c>
      <c r="CF9" s="21">
        <v>20873</v>
      </c>
      <c r="CG9" s="284">
        <v>17063.27</v>
      </c>
      <c r="CH9" s="20">
        <v>15716.28</v>
      </c>
      <c r="CI9" s="21">
        <v>17473</v>
      </c>
      <c r="CJ9" s="21">
        <v>19173</v>
      </c>
      <c r="CK9" s="21">
        <v>20873</v>
      </c>
      <c r="CL9" s="284">
        <v>19148.72</v>
      </c>
      <c r="CM9" s="20">
        <v>17164.259999999998</v>
      </c>
      <c r="CN9" s="21">
        <v>17473</v>
      </c>
      <c r="CO9" s="21">
        <v>19173</v>
      </c>
      <c r="CP9" s="22">
        <v>20873</v>
      </c>
      <c r="CQ9" s="26">
        <v>18273.439999999999</v>
      </c>
      <c r="CR9" s="27">
        <v>20356</v>
      </c>
      <c r="CS9" s="27">
        <v>22397.439999999999</v>
      </c>
      <c r="CT9" s="27">
        <v>23556</v>
      </c>
      <c r="CU9" s="284">
        <v>19551.07</v>
      </c>
      <c r="CV9" s="26">
        <v>18594</v>
      </c>
      <c r="CW9" s="27">
        <v>21594</v>
      </c>
      <c r="CX9" s="27">
        <v>23118.97</v>
      </c>
      <c r="CY9" s="27">
        <v>23556</v>
      </c>
      <c r="CZ9" s="286">
        <v>22664.52</v>
      </c>
      <c r="DA9" s="26">
        <v>19196</v>
      </c>
      <c r="DB9" s="27">
        <v>22196</v>
      </c>
      <c r="DC9" s="27">
        <v>25196</v>
      </c>
      <c r="DD9" s="27">
        <v>26810</v>
      </c>
      <c r="DE9" s="286">
        <v>23539.65</v>
      </c>
      <c r="DF9" s="26">
        <v>18594</v>
      </c>
      <c r="DG9" s="27">
        <v>20356</v>
      </c>
      <c r="DH9" s="27">
        <v>22397.439999999999</v>
      </c>
      <c r="DI9" s="28">
        <v>23556</v>
      </c>
      <c r="DJ9" s="26">
        <v>18726</v>
      </c>
      <c r="DK9" s="27">
        <v>21226</v>
      </c>
      <c r="DL9" s="27">
        <v>22826</v>
      </c>
      <c r="DM9" s="28">
        <v>24426</v>
      </c>
      <c r="DN9" s="39">
        <v>24550</v>
      </c>
      <c r="DO9" s="40">
        <v>26550</v>
      </c>
      <c r="DP9" s="40">
        <v>28760</v>
      </c>
      <c r="DQ9" s="40">
        <v>31760</v>
      </c>
      <c r="DR9" s="40">
        <v>34760</v>
      </c>
      <c r="DS9" s="40">
        <v>35500</v>
      </c>
      <c r="DT9" s="40">
        <v>39000</v>
      </c>
      <c r="DU9" s="40">
        <v>42000</v>
      </c>
      <c r="DV9" s="40">
        <v>43230</v>
      </c>
      <c r="DW9" s="40">
        <v>46230</v>
      </c>
      <c r="DX9" s="40">
        <v>49230</v>
      </c>
      <c r="DY9" s="40">
        <v>51020</v>
      </c>
      <c r="DZ9" s="40">
        <v>54020</v>
      </c>
      <c r="EA9" s="41">
        <v>57020</v>
      </c>
    </row>
    <row r="10" spans="1:131">
      <c r="A10" s="19">
        <v>7</v>
      </c>
      <c r="B10" s="20">
        <v>17169.18</v>
      </c>
      <c r="C10" s="21">
        <v>17782.45</v>
      </c>
      <c r="D10" s="21">
        <v>19102.77</v>
      </c>
      <c r="E10" s="22">
        <v>20102.77</v>
      </c>
      <c r="F10" s="20">
        <v>17252.620000000003</v>
      </c>
      <c r="G10" s="21">
        <v>18879.39</v>
      </c>
      <c r="H10" s="21">
        <v>19788.310000000001</v>
      </c>
      <c r="I10" s="22">
        <v>21288.31</v>
      </c>
      <c r="J10" s="59">
        <v>17168.79</v>
      </c>
      <c r="K10" s="53">
        <v>17988.310000000001</v>
      </c>
      <c r="L10" s="53">
        <v>20332.21</v>
      </c>
      <c r="M10" s="53">
        <v>21562.29</v>
      </c>
      <c r="N10" s="53">
        <v>21705.06</v>
      </c>
      <c r="O10" s="60">
        <v>22582.720000000001</v>
      </c>
      <c r="P10" s="79">
        <v>17725.05</v>
      </c>
      <c r="Q10" s="79">
        <v>23740.23</v>
      </c>
      <c r="R10" s="79">
        <v>24079.23</v>
      </c>
      <c r="S10" s="79">
        <v>24565.8</v>
      </c>
      <c r="T10" s="79">
        <v>17730.740000000002</v>
      </c>
      <c r="U10" s="79">
        <v>24045.7</v>
      </c>
      <c r="V10" s="79">
        <v>19448.82</v>
      </c>
      <c r="W10" s="79">
        <v>22269.62</v>
      </c>
      <c r="X10" s="20">
        <v>19127.560000000001</v>
      </c>
      <c r="Y10" s="21">
        <v>19951.5</v>
      </c>
      <c r="Z10" s="21">
        <v>20261.34</v>
      </c>
      <c r="AA10" s="21">
        <v>23064</v>
      </c>
      <c r="AB10" s="22">
        <v>24764</v>
      </c>
      <c r="AC10" s="289">
        <v>20892</v>
      </c>
      <c r="AD10" s="290">
        <v>23392</v>
      </c>
      <c r="AE10" s="290">
        <v>25392</v>
      </c>
      <c r="AF10" s="290">
        <v>27392</v>
      </c>
      <c r="AG10" s="291">
        <v>29392</v>
      </c>
      <c r="AH10" s="20">
        <v>22100.77</v>
      </c>
      <c r="AI10" s="21">
        <v>24044.21</v>
      </c>
      <c r="AJ10" s="21">
        <v>24482.99</v>
      </c>
      <c r="AK10" s="21">
        <v>25095.3</v>
      </c>
      <c r="AL10" s="21">
        <v>29184</v>
      </c>
      <c r="AM10" s="21">
        <v>24690.23</v>
      </c>
      <c r="AN10" s="22">
        <v>27131.95</v>
      </c>
      <c r="AO10" s="20">
        <v>23999.83</v>
      </c>
      <c r="AP10" s="21">
        <v>26118.2</v>
      </c>
      <c r="AQ10" s="21">
        <v>26596.44</v>
      </c>
      <c r="AR10" s="21">
        <v>27263.9</v>
      </c>
      <c r="AS10" s="21">
        <v>28263.9</v>
      </c>
      <c r="AT10" s="22">
        <v>27962.43</v>
      </c>
      <c r="AU10" s="20">
        <v>25125.05</v>
      </c>
      <c r="AV10" s="21">
        <v>28962.43</v>
      </c>
      <c r="AW10" s="21">
        <v>31689.24</v>
      </c>
      <c r="AX10" s="21">
        <v>34936.660000000003</v>
      </c>
      <c r="AY10" s="21">
        <v>37506.33</v>
      </c>
      <c r="AZ10" s="21">
        <v>41605</v>
      </c>
      <c r="BA10" s="21">
        <v>43141.94</v>
      </c>
      <c r="BB10" s="21">
        <v>42894.04</v>
      </c>
      <c r="BC10" s="22">
        <v>47232.15</v>
      </c>
      <c r="BD10" s="20">
        <v>31317.9</v>
      </c>
      <c r="BE10" s="21">
        <v>34371.94</v>
      </c>
      <c r="BF10" s="21">
        <v>35972.839999999997</v>
      </c>
      <c r="BG10" s="21">
        <v>39756.730000000003</v>
      </c>
      <c r="BH10" s="21">
        <v>43041.29</v>
      </c>
      <c r="BI10" s="22">
        <v>42984.81</v>
      </c>
      <c r="BJ10" s="75">
        <v>73185.81</v>
      </c>
      <c r="BK10" s="22">
        <v>65508.800000000003</v>
      </c>
      <c r="BL10" s="20">
        <v>13140</v>
      </c>
      <c r="BM10" s="21">
        <v>13943.02</v>
      </c>
      <c r="BN10" s="21">
        <v>14943.02</v>
      </c>
      <c r="BO10" s="22">
        <v>15943.02</v>
      </c>
      <c r="BP10" s="20">
        <v>13804</v>
      </c>
      <c r="BQ10" s="21">
        <v>14904</v>
      </c>
      <c r="BR10" s="21">
        <v>15904</v>
      </c>
      <c r="BS10" s="21">
        <v>16904</v>
      </c>
      <c r="BT10" s="284">
        <v>15776.05</v>
      </c>
      <c r="BU10" s="20">
        <v>14053.65</v>
      </c>
      <c r="BV10" s="21">
        <v>15082.3</v>
      </c>
      <c r="BW10" s="21">
        <v>16444.990000000002</v>
      </c>
      <c r="BX10" s="22">
        <v>19660.240000000002</v>
      </c>
      <c r="BY10" s="20">
        <v>14053.65</v>
      </c>
      <c r="BZ10" s="21">
        <v>14904</v>
      </c>
      <c r="CA10" s="21">
        <v>16444.990000000002</v>
      </c>
      <c r="CB10" s="22">
        <v>19660.240000000002</v>
      </c>
      <c r="CC10" s="20">
        <v>15788.31</v>
      </c>
      <c r="CD10" s="21">
        <v>17672</v>
      </c>
      <c r="CE10" s="21">
        <v>19372</v>
      </c>
      <c r="CF10" s="21">
        <v>21072</v>
      </c>
      <c r="CG10" s="284">
        <v>17419.61</v>
      </c>
      <c r="CH10" s="20">
        <v>16072.62</v>
      </c>
      <c r="CI10" s="21">
        <v>17772.62</v>
      </c>
      <c r="CJ10" s="21">
        <v>19372</v>
      </c>
      <c r="CK10" s="21">
        <v>21072</v>
      </c>
      <c r="CL10" s="284">
        <v>19505.060000000001</v>
      </c>
      <c r="CM10" s="20">
        <v>17699.39</v>
      </c>
      <c r="CN10" s="21">
        <v>17672</v>
      </c>
      <c r="CO10" s="21">
        <v>19505.060000000001</v>
      </c>
      <c r="CP10" s="22">
        <v>21072</v>
      </c>
      <c r="CQ10" s="26">
        <v>18886.88</v>
      </c>
      <c r="CR10" s="27">
        <v>20948.88</v>
      </c>
      <c r="CS10" s="27">
        <v>23010.880000000001</v>
      </c>
      <c r="CT10" s="27">
        <v>24349</v>
      </c>
      <c r="CU10" s="284">
        <v>19941.11</v>
      </c>
      <c r="CV10" s="26">
        <v>19189</v>
      </c>
      <c r="CW10" s="27">
        <v>22189</v>
      </c>
      <c r="CX10" s="27">
        <v>23411.56</v>
      </c>
      <c r="CY10" s="27">
        <v>24349</v>
      </c>
      <c r="CZ10" s="286">
        <v>22957.11</v>
      </c>
      <c r="DA10" s="26">
        <v>19587</v>
      </c>
      <c r="DB10" s="27">
        <v>22587</v>
      </c>
      <c r="DC10" s="27">
        <v>25587</v>
      </c>
      <c r="DD10" s="27">
        <v>27103</v>
      </c>
      <c r="DE10" s="286">
        <v>23929.69</v>
      </c>
      <c r="DF10" s="26">
        <v>19189</v>
      </c>
      <c r="DG10" s="27">
        <v>20948.88</v>
      </c>
      <c r="DH10" s="27">
        <v>23010.880000000001</v>
      </c>
      <c r="DI10" s="28">
        <v>24349</v>
      </c>
      <c r="DJ10" s="26">
        <v>19117</v>
      </c>
      <c r="DK10" s="27">
        <v>21617</v>
      </c>
      <c r="DL10" s="27">
        <v>23418</v>
      </c>
      <c r="DM10" s="28">
        <v>25219</v>
      </c>
      <c r="DN10" s="42">
        <v>24995</v>
      </c>
      <c r="DO10" s="43">
        <v>26995</v>
      </c>
      <c r="DP10" s="43">
        <v>29240</v>
      </c>
      <c r="DQ10" s="43">
        <v>32240</v>
      </c>
      <c r="DR10" s="43">
        <v>35240</v>
      </c>
      <c r="DS10" s="43">
        <v>36020</v>
      </c>
      <c r="DT10" s="43">
        <v>39520</v>
      </c>
      <c r="DU10" s="43">
        <v>42520</v>
      </c>
      <c r="DV10" s="43">
        <v>43840</v>
      </c>
      <c r="DW10" s="43">
        <v>46840</v>
      </c>
      <c r="DX10" s="43">
        <v>49840</v>
      </c>
      <c r="DY10" s="43">
        <v>51630</v>
      </c>
      <c r="DZ10" s="43">
        <v>54630</v>
      </c>
      <c r="EA10" s="44">
        <v>57630</v>
      </c>
    </row>
    <row r="11" spans="1:131">
      <c r="A11" s="19">
        <v>8</v>
      </c>
      <c r="B11" s="20">
        <v>17290.276750000001</v>
      </c>
      <c r="C11" s="21">
        <v>18055.14</v>
      </c>
      <c r="D11" s="21">
        <v>19449.830000000002</v>
      </c>
      <c r="E11" s="22">
        <v>20449.830000000002</v>
      </c>
      <c r="F11" s="20">
        <v>17252.620000000003</v>
      </c>
      <c r="G11" s="21">
        <v>18879.39</v>
      </c>
      <c r="H11" s="21">
        <v>19788.310000000001</v>
      </c>
      <c r="I11" s="22">
        <v>21288.31</v>
      </c>
      <c r="J11" s="59">
        <v>17168.79</v>
      </c>
      <c r="K11" s="53">
        <v>17988.310000000001</v>
      </c>
      <c r="L11" s="53">
        <v>20332.21</v>
      </c>
      <c r="M11" s="53">
        <v>21562.29</v>
      </c>
      <c r="N11" s="53">
        <v>21705.06</v>
      </c>
      <c r="O11" s="60">
        <v>22582.720000000001</v>
      </c>
      <c r="P11" s="79">
        <v>17725.05</v>
      </c>
      <c r="Q11" s="79">
        <v>23740.23</v>
      </c>
      <c r="R11" s="79">
        <v>24079.23</v>
      </c>
      <c r="S11" s="79">
        <v>24565.8</v>
      </c>
      <c r="T11" s="79">
        <v>17730.740000000002</v>
      </c>
      <c r="U11" s="79">
        <v>24045.7</v>
      </c>
      <c r="V11" s="79">
        <v>19448.82</v>
      </c>
      <c r="W11" s="79">
        <v>22269.62</v>
      </c>
      <c r="X11" s="20">
        <v>19474.62</v>
      </c>
      <c r="Y11" s="21">
        <v>20335.740000000002</v>
      </c>
      <c r="Z11" s="21">
        <v>20682.759999999998</v>
      </c>
      <c r="AA11" s="21">
        <v>23264</v>
      </c>
      <c r="AB11" s="22">
        <v>24964</v>
      </c>
      <c r="AC11" s="289">
        <v>21161</v>
      </c>
      <c r="AD11" s="290">
        <v>23661</v>
      </c>
      <c r="AE11" s="290">
        <v>25661</v>
      </c>
      <c r="AF11" s="290">
        <v>27661</v>
      </c>
      <c r="AG11" s="291">
        <v>29661</v>
      </c>
      <c r="AH11" s="20">
        <v>22636.23</v>
      </c>
      <c r="AI11" s="21">
        <v>24609.41</v>
      </c>
      <c r="AJ11" s="21">
        <v>25075.46</v>
      </c>
      <c r="AK11" s="21">
        <v>25739.83</v>
      </c>
      <c r="AL11" s="21">
        <v>29453</v>
      </c>
      <c r="AM11" s="21">
        <v>25309.97</v>
      </c>
      <c r="AN11" s="22">
        <v>27714.5</v>
      </c>
      <c r="AO11" s="20">
        <v>24583.48</v>
      </c>
      <c r="AP11" s="21">
        <v>26734.27</v>
      </c>
      <c r="AQ11" s="21">
        <v>27242.23</v>
      </c>
      <c r="AR11" s="21">
        <v>27966.44</v>
      </c>
      <c r="AS11" s="21">
        <v>28966.44</v>
      </c>
      <c r="AT11" s="22">
        <v>28557.38</v>
      </c>
      <c r="AU11" s="20">
        <v>25561.35</v>
      </c>
      <c r="AV11" s="21">
        <v>29557.38</v>
      </c>
      <c r="AW11" s="21">
        <v>32532.080000000002</v>
      </c>
      <c r="AX11" s="21">
        <v>35853.870000000003</v>
      </c>
      <c r="AY11" s="21">
        <v>38473.120000000003</v>
      </c>
      <c r="AZ11" s="21">
        <v>42547</v>
      </c>
      <c r="BA11" s="21">
        <v>44108.73</v>
      </c>
      <c r="BB11" s="21">
        <v>44381.41</v>
      </c>
      <c r="BC11" s="22">
        <v>48843.46</v>
      </c>
      <c r="BD11" s="20">
        <v>31984.240000000002</v>
      </c>
      <c r="BE11" s="21">
        <v>35315.919999999998</v>
      </c>
      <c r="BF11" s="21">
        <v>36945.08</v>
      </c>
      <c r="BG11" s="21">
        <v>40781.53</v>
      </c>
      <c r="BH11" s="21">
        <v>44039.81</v>
      </c>
      <c r="BI11" s="22">
        <v>43970.94</v>
      </c>
      <c r="BJ11" s="75">
        <v>73185.81</v>
      </c>
      <c r="BK11" s="22">
        <v>65508.800000000003</v>
      </c>
      <c r="BL11" s="20">
        <v>13166</v>
      </c>
      <c r="BM11" s="21">
        <v>13966</v>
      </c>
      <c r="BN11" s="21">
        <v>14943.02</v>
      </c>
      <c r="BO11" s="22">
        <v>15943.02</v>
      </c>
      <c r="BP11" s="20">
        <v>13926</v>
      </c>
      <c r="BQ11" s="21">
        <v>15026</v>
      </c>
      <c r="BR11" s="21">
        <v>16026</v>
      </c>
      <c r="BS11" s="21">
        <v>17026</v>
      </c>
      <c r="BT11" s="284">
        <v>15776.05</v>
      </c>
      <c r="BU11" s="20">
        <v>14053.65</v>
      </c>
      <c r="BV11" s="21">
        <v>15082.3</v>
      </c>
      <c r="BW11" s="21">
        <v>16444.990000000002</v>
      </c>
      <c r="BX11" s="22">
        <v>19660.240000000002</v>
      </c>
      <c r="BY11" s="20">
        <v>14053.65</v>
      </c>
      <c r="BZ11" s="21">
        <v>15026</v>
      </c>
      <c r="CA11" s="21">
        <v>16444.990000000002</v>
      </c>
      <c r="CB11" s="22">
        <v>19660.240000000002</v>
      </c>
      <c r="CC11" s="20">
        <v>15872</v>
      </c>
      <c r="CD11" s="21">
        <v>17872</v>
      </c>
      <c r="CE11" s="21">
        <v>19572</v>
      </c>
      <c r="CF11" s="21">
        <v>21272</v>
      </c>
      <c r="CG11" s="284">
        <v>17419.61</v>
      </c>
      <c r="CH11" s="20">
        <v>16072.62</v>
      </c>
      <c r="CI11" s="21">
        <v>17872</v>
      </c>
      <c r="CJ11" s="21">
        <v>19572</v>
      </c>
      <c r="CK11" s="21">
        <v>21272</v>
      </c>
      <c r="CL11" s="284">
        <v>19505.060000000001</v>
      </c>
      <c r="CM11" s="20">
        <v>17699.39</v>
      </c>
      <c r="CN11" s="21">
        <v>17872</v>
      </c>
      <c r="CO11" s="21">
        <v>19572</v>
      </c>
      <c r="CP11" s="22">
        <v>21272</v>
      </c>
      <c r="CQ11" s="26">
        <v>18886.88</v>
      </c>
      <c r="CR11" s="27">
        <v>20948.88</v>
      </c>
      <c r="CS11" s="27">
        <v>23010.880000000001</v>
      </c>
      <c r="CT11" s="27">
        <v>24349</v>
      </c>
      <c r="CU11" s="284">
        <v>19941.11</v>
      </c>
      <c r="CV11" s="26">
        <v>19189</v>
      </c>
      <c r="CW11" s="27">
        <v>22189</v>
      </c>
      <c r="CX11" s="27">
        <v>23411.56</v>
      </c>
      <c r="CY11" s="27">
        <v>24349</v>
      </c>
      <c r="CZ11" s="286">
        <v>22957.11</v>
      </c>
      <c r="DA11" s="26">
        <v>19587</v>
      </c>
      <c r="DB11" s="27">
        <v>22587</v>
      </c>
      <c r="DC11" s="27">
        <v>25587</v>
      </c>
      <c r="DD11" s="27">
        <v>27103</v>
      </c>
      <c r="DE11" s="286">
        <v>23929.69</v>
      </c>
      <c r="DF11" s="26">
        <v>19189</v>
      </c>
      <c r="DG11" s="27">
        <v>20948.88</v>
      </c>
      <c r="DH11" s="27">
        <v>23010.880000000001</v>
      </c>
      <c r="DI11" s="28">
        <v>24349</v>
      </c>
      <c r="DJ11" s="26">
        <v>19117</v>
      </c>
      <c r="DK11" s="27">
        <v>21617</v>
      </c>
      <c r="DL11" s="27">
        <v>23418</v>
      </c>
      <c r="DM11" s="28">
        <v>25219</v>
      </c>
      <c r="DN11" s="39">
        <v>25440</v>
      </c>
      <c r="DO11" s="40">
        <v>27440</v>
      </c>
      <c r="DP11" s="40">
        <v>29720</v>
      </c>
      <c r="DQ11" s="40">
        <v>32720</v>
      </c>
      <c r="DR11" s="40">
        <v>35720</v>
      </c>
      <c r="DS11" s="40">
        <v>36540</v>
      </c>
      <c r="DT11" s="40">
        <v>40040</v>
      </c>
      <c r="DU11" s="40">
        <v>43040</v>
      </c>
      <c r="DV11" s="40">
        <v>44450</v>
      </c>
      <c r="DW11" s="40">
        <v>47450</v>
      </c>
      <c r="DX11" s="40">
        <v>50450</v>
      </c>
      <c r="DY11" s="40">
        <v>52240</v>
      </c>
      <c r="DZ11" s="40">
        <v>55240</v>
      </c>
      <c r="EA11" s="41">
        <v>58240</v>
      </c>
    </row>
    <row r="12" spans="1:131">
      <c r="A12" s="19">
        <v>9</v>
      </c>
      <c r="B12" s="20">
        <v>17484.98</v>
      </c>
      <c r="C12" s="21">
        <v>18327.830000000002</v>
      </c>
      <c r="D12" s="21">
        <v>19616.89</v>
      </c>
      <c r="E12" s="22">
        <v>20616.89</v>
      </c>
      <c r="F12" s="20">
        <v>17696.23</v>
      </c>
      <c r="G12" s="21">
        <v>19414.52</v>
      </c>
      <c r="H12" s="21">
        <v>20411.919999999998</v>
      </c>
      <c r="I12" s="22">
        <v>21911.919999999998</v>
      </c>
      <c r="J12" s="59">
        <v>17881.43</v>
      </c>
      <c r="K12" s="53">
        <v>18611.919999999998</v>
      </c>
      <c r="L12" s="53">
        <v>20955.82</v>
      </c>
      <c r="M12" s="53">
        <v>22185.9</v>
      </c>
      <c r="N12" s="53">
        <v>22417.7</v>
      </c>
      <c r="O12" s="60">
        <v>23295.360000000001</v>
      </c>
      <c r="P12" s="79">
        <v>17725.05</v>
      </c>
      <c r="Q12" s="79">
        <v>23740.23</v>
      </c>
      <c r="R12" s="79">
        <v>24079.23</v>
      </c>
      <c r="S12" s="79">
        <v>24565.8</v>
      </c>
      <c r="T12" s="79">
        <v>17730.740000000002</v>
      </c>
      <c r="U12" s="79">
        <v>24045.7</v>
      </c>
      <c r="V12" s="79">
        <v>19448.82</v>
      </c>
      <c r="W12" s="79">
        <v>22269.62</v>
      </c>
      <c r="X12" s="20">
        <v>19641.68</v>
      </c>
      <c r="Y12" s="21">
        <v>20719.98</v>
      </c>
      <c r="Z12" s="21">
        <v>21104.18</v>
      </c>
      <c r="AA12" s="21">
        <v>23464</v>
      </c>
      <c r="AB12" s="22">
        <v>25164</v>
      </c>
      <c r="AC12" s="289">
        <v>21431</v>
      </c>
      <c r="AD12" s="290">
        <v>23931</v>
      </c>
      <c r="AE12" s="290">
        <v>25931</v>
      </c>
      <c r="AF12" s="290">
        <v>27931</v>
      </c>
      <c r="AG12" s="291">
        <v>29931</v>
      </c>
      <c r="AH12" s="20">
        <v>23171.69</v>
      </c>
      <c r="AI12" s="21">
        <v>25174.61</v>
      </c>
      <c r="AJ12" s="21">
        <v>25667.93</v>
      </c>
      <c r="AK12" s="21">
        <v>26384.36</v>
      </c>
      <c r="AL12" s="21">
        <v>29723</v>
      </c>
      <c r="AM12" s="21">
        <v>25929.71</v>
      </c>
      <c r="AN12" s="22">
        <v>28297.05</v>
      </c>
      <c r="AO12" s="20">
        <v>25167.13</v>
      </c>
      <c r="AP12" s="21">
        <v>27350.34</v>
      </c>
      <c r="AQ12" s="21">
        <v>27888.02</v>
      </c>
      <c r="AR12" s="21">
        <v>28668.98</v>
      </c>
      <c r="AS12" s="21">
        <v>29668.98</v>
      </c>
      <c r="AT12" s="22">
        <v>29152.33</v>
      </c>
      <c r="AU12" s="20">
        <v>25997.65</v>
      </c>
      <c r="AV12" s="21">
        <v>30152.33</v>
      </c>
      <c r="AW12" s="21">
        <v>33374.92</v>
      </c>
      <c r="AX12" s="21">
        <v>36771.08</v>
      </c>
      <c r="AY12" s="21">
        <v>39439.910000000003</v>
      </c>
      <c r="AZ12" s="21">
        <v>43489</v>
      </c>
      <c r="BA12" s="21">
        <v>45075.519999999997</v>
      </c>
      <c r="BB12" s="21">
        <v>44381.41</v>
      </c>
      <c r="BC12" s="22">
        <v>48843.46</v>
      </c>
      <c r="BD12" s="20">
        <v>32650.58</v>
      </c>
      <c r="BE12" s="21">
        <v>36259.9</v>
      </c>
      <c r="BF12" s="21">
        <v>37917.32</v>
      </c>
      <c r="BG12" s="21">
        <v>41806.33</v>
      </c>
      <c r="BH12" s="21">
        <v>45038.33</v>
      </c>
      <c r="BI12" s="22">
        <v>44957.07</v>
      </c>
      <c r="BJ12" s="75">
        <v>73185.81</v>
      </c>
      <c r="BK12" s="22">
        <v>65508.800000000003</v>
      </c>
      <c r="BL12" s="20">
        <v>13193</v>
      </c>
      <c r="BM12" s="21">
        <v>14002.36</v>
      </c>
      <c r="BN12" s="21">
        <v>15002.36</v>
      </c>
      <c r="BO12" s="22">
        <v>16002.36</v>
      </c>
      <c r="BP12" s="20">
        <v>14048</v>
      </c>
      <c r="BQ12" s="21">
        <v>15148</v>
      </c>
      <c r="BR12" s="21">
        <v>16148</v>
      </c>
      <c r="BS12" s="21">
        <v>17148</v>
      </c>
      <c r="BT12" s="284">
        <v>16042.84</v>
      </c>
      <c r="BU12" s="20">
        <v>14274.92</v>
      </c>
      <c r="BV12" s="21">
        <v>15295.8</v>
      </c>
      <c r="BW12" s="21">
        <v>16711.78</v>
      </c>
      <c r="BX12" s="22">
        <v>19927.03</v>
      </c>
      <c r="BY12" s="20">
        <v>14274.92</v>
      </c>
      <c r="BZ12" s="21">
        <v>15148</v>
      </c>
      <c r="CA12" s="21">
        <v>16711.78</v>
      </c>
      <c r="CB12" s="22">
        <v>19927.03</v>
      </c>
      <c r="CC12" s="20">
        <v>16411.919999999998</v>
      </c>
      <c r="CD12" s="21">
        <v>18072</v>
      </c>
      <c r="CE12" s="21">
        <v>19772</v>
      </c>
      <c r="CF12" s="21">
        <v>21472</v>
      </c>
      <c r="CG12" s="284">
        <v>18132.25</v>
      </c>
      <c r="CH12" s="20">
        <v>16696.23</v>
      </c>
      <c r="CI12" s="21">
        <v>18396.23</v>
      </c>
      <c r="CJ12" s="21">
        <v>19772</v>
      </c>
      <c r="CK12" s="21">
        <v>21472</v>
      </c>
      <c r="CL12" s="284">
        <v>20217.7</v>
      </c>
      <c r="CM12" s="20">
        <v>18234.52</v>
      </c>
      <c r="CN12" s="21">
        <v>18132.25</v>
      </c>
      <c r="CO12" s="21">
        <v>20217.7</v>
      </c>
      <c r="CP12" s="22">
        <v>21472</v>
      </c>
      <c r="CQ12" s="26">
        <v>19320.939999999999</v>
      </c>
      <c r="CR12" s="27">
        <v>21420</v>
      </c>
      <c r="CS12" s="27">
        <v>23444.94</v>
      </c>
      <c r="CT12" s="27">
        <v>25142</v>
      </c>
      <c r="CU12" s="284">
        <v>20613.419999999998</v>
      </c>
      <c r="CV12" s="26">
        <v>19610</v>
      </c>
      <c r="CW12" s="27">
        <v>22610</v>
      </c>
      <c r="CX12" s="27">
        <v>24083.87</v>
      </c>
      <c r="CY12" s="27">
        <v>25142</v>
      </c>
      <c r="CZ12" s="286">
        <v>23629.42</v>
      </c>
      <c r="DA12" s="26">
        <v>20260</v>
      </c>
      <c r="DB12" s="27">
        <v>23260</v>
      </c>
      <c r="DC12" s="27">
        <v>26260</v>
      </c>
      <c r="DD12" s="27">
        <v>27776</v>
      </c>
      <c r="DE12" s="286">
        <v>24602</v>
      </c>
      <c r="DF12" s="26">
        <v>19610</v>
      </c>
      <c r="DG12" s="27">
        <v>21420</v>
      </c>
      <c r="DH12" s="27">
        <v>23458.04</v>
      </c>
      <c r="DI12" s="28">
        <v>25142</v>
      </c>
      <c r="DJ12" s="26">
        <v>19790</v>
      </c>
      <c r="DK12" s="27">
        <v>22290</v>
      </c>
      <c r="DL12" s="27">
        <v>24151</v>
      </c>
      <c r="DM12" s="28">
        <v>26012</v>
      </c>
      <c r="DN12" s="42">
        <v>25885</v>
      </c>
      <c r="DO12" s="43">
        <v>27885</v>
      </c>
      <c r="DP12" s="43">
        <v>30200</v>
      </c>
      <c r="DQ12" s="43">
        <v>33200</v>
      </c>
      <c r="DR12" s="43">
        <v>36200</v>
      </c>
      <c r="DS12" s="43">
        <v>37060</v>
      </c>
      <c r="DT12" s="43">
        <v>40560</v>
      </c>
      <c r="DU12" s="43">
        <v>43560</v>
      </c>
      <c r="DV12" s="43">
        <v>45060</v>
      </c>
      <c r="DW12" s="43">
        <v>48060</v>
      </c>
      <c r="DX12" s="43">
        <v>51060</v>
      </c>
      <c r="DY12" s="43">
        <v>52850</v>
      </c>
      <c r="DZ12" s="43">
        <v>55850</v>
      </c>
      <c r="EA12" s="44">
        <v>58850</v>
      </c>
    </row>
    <row r="13" spans="1:131">
      <c r="A13" s="19">
        <v>10</v>
      </c>
      <c r="B13" s="20">
        <v>17732.88</v>
      </c>
      <c r="C13" s="21">
        <v>18780.52</v>
      </c>
      <c r="D13" s="21">
        <v>19963.95</v>
      </c>
      <c r="E13" s="22">
        <v>20963.95</v>
      </c>
      <c r="F13" s="20">
        <v>17696.23</v>
      </c>
      <c r="G13" s="21">
        <v>19414.52</v>
      </c>
      <c r="H13" s="21">
        <v>20411.919999999998</v>
      </c>
      <c r="I13" s="22">
        <v>21911.919999999998</v>
      </c>
      <c r="J13" s="59">
        <v>17881.43</v>
      </c>
      <c r="K13" s="53">
        <v>18611.919999999998</v>
      </c>
      <c r="L13" s="53">
        <v>20955.82</v>
      </c>
      <c r="M13" s="53">
        <v>22185.9</v>
      </c>
      <c r="N13" s="53">
        <v>22417.7</v>
      </c>
      <c r="O13" s="60">
        <v>23295.360000000001</v>
      </c>
      <c r="P13" s="79">
        <v>17725.05</v>
      </c>
      <c r="Q13" s="79">
        <v>23740.23</v>
      </c>
      <c r="R13" s="79">
        <v>24079.23</v>
      </c>
      <c r="S13" s="79">
        <v>24565.8</v>
      </c>
      <c r="T13" s="79">
        <v>17730.740000000002</v>
      </c>
      <c r="U13" s="79">
        <v>24045.7</v>
      </c>
      <c r="V13" s="79">
        <v>19448.82</v>
      </c>
      <c r="W13" s="79">
        <v>22269.62</v>
      </c>
      <c r="X13" s="20">
        <v>19988.740000000002</v>
      </c>
      <c r="Y13" s="21">
        <v>21104.22</v>
      </c>
      <c r="Z13" s="21">
        <v>21525.599999999999</v>
      </c>
      <c r="AA13" s="21">
        <v>23664</v>
      </c>
      <c r="AB13" s="22">
        <v>25364</v>
      </c>
      <c r="AC13" s="289">
        <v>21701</v>
      </c>
      <c r="AD13" s="290">
        <v>24201</v>
      </c>
      <c r="AE13" s="290">
        <v>26201</v>
      </c>
      <c r="AF13" s="290">
        <v>28201</v>
      </c>
      <c r="AG13" s="291">
        <v>30201</v>
      </c>
      <c r="AH13" s="20">
        <v>23707.15</v>
      </c>
      <c r="AI13" s="21">
        <v>25739.81</v>
      </c>
      <c r="AJ13" s="21">
        <v>26260.400000000001</v>
      </c>
      <c r="AK13" s="21">
        <v>27028.89</v>
      </c>
      <c r="AL13" s="21">
        <v>29993</v>
      </c>
      <c r="AM13" s="21">
        <v>26549.45</v>
      </c>
      <c r="AN13" s="22">
        <v>28879.599999999999</v>
      </c>
      <c r="AO13" s="20">
        <v>25750.78</v>
      </c>
      <c r="AP13" s="21">
        <v>27966.41</v>
      </c>
      <c r="AQ13" s="21">
        <v>28533.81</v>
      </c>
      <c r="AR13" s="21">
        <v>29371.52</v>
      </c>
      <c r="AS13" s="21">
        <v>30371.52</v>
      </c>
      <c r="AT13" s="22">
        <v>29747.279999999999</v>
      </c>
      <c r="AU13" s="20">
        <v>26433.95</v>
      </c>
      <c r="AV13" s="21">
        <v>30747.279999999999</v>
      </c>
      <c r="AW13" s="21">
        <v>34217.760000000002</v>
      </c>
      <c r="AX13" s="21">
        <v>37688.29</v>
      </c>
      <c r="AY13" s="21">
        <v>40406.699999999997</v>
      </c>
      <c r="AZ13" s="21">
        <v>44431</v>
      </c>
      <c r="BA13" s="21">
        <v>46042.31</v>
      </c>
      <c r="BB13" s="21">
        <v>45868.78</v>
      </c>
      <c r="BC13" s="22">
        <v>50454.77</v>
      </c>
      <c r="BD13" s="20">
        <v>33316.92</v>
      </c>
      <c r="BE13" s="21">
        <v>37203.879999999997</v>
      </c>
      <c r="BF13" s="21">
        <v>38889.56</v>
      </c>
      <c r="BG13" s="21">
        <v>42831.13</v>
      </c>
      <c r="BH13" s="21">
        <v>46036.85</v>
      </c>
      <c r="BI13" s="22">
        <v>45943.199999999997</v>
      </c>
      <c r="BJ13" s="75">
        <v>73185.81</v>
      </c>
      <c r="BK13" s="22">
        <v>65508.800000000003</v>
      </c>
      <c r="BL13" s="20">
        <v>13220</v>
      </c>
      <c r="BM13" s="21">
        <v>14020</v>
      </c>
      <c r="BN13" s="21">
        <v>15002.36</v>
      </c>
      <c r="BO13" s="22">
        <v>16002.36</v>
      </c>
      <c r="BP13" s="20">
        <v>14169</v>
      </c>
      <c r="BQ13" s="21">
        <v>15269</v>
      </c>
      <c r="BR13" s="21">
        <v>16269</v>
      </c>
      <c r="BS13" s="21">
        <v>17269</v>
      </c>
      <c r="BT13" s="284">
        <v>16042.84</v>
      </c>
      <c r="BU13" s="20">
        <v>14274.92</v>
      </c>
      <c r="BV13" s="21">
        <v>15295.8</v>
      </c>
      <c r="BW13" s="21">
        <v>16711.78</v>
      </c>
      <c r="BX13" s="22">
        <v>19927.03</v>
      </c>
      <c r="BY13" s="20">
        <v>14274.92</v>
      </c>
      <c r="BZ13" s="21">
        <v>15269</v>
      </c>
      <c r="CA13" s="21">
        <v>16711.78</v>
      </c>
      <c r="CB13" s="22">
        <v>19927.03</v>
      </c>
      <c r="CC13" s="20">
        <v>16411.919999999998</v>
      </c>
      <c r="CD13" s="21">
        <v>18272</v>
      </c>
      <c r="CE13" s="21">
        <v>19972</v>
      </c>
      <c r="CF13" s="21">
        <v>21672</v>
      </c>
      <c r="CG13" s="284">
        <v>18132.25</v>
      </c>
      <c r="CH13" s="20">
        <v>16696.23</v>
      </c>
      <c r="CI13" s="21">
        <v>18396.23</v>
      </c>
      <c r="CJ13" s="21">
        <v>19972</v>
      </c>
      <c r="CK13" s="21">
        <v>21672</v>
      </c>
      <c r="CL13" s="284">
        <v>20217.7</v>
      </c>
      <c r="CM13" s="20">
        <v>18234.52</v>
      </c>
      <c r="CN13" s="21">
        <v>18272</v>
      </c>
      <c r="CO13" s="21">
        <v>20217.7</v>
      </c>
      <c r="CP13" s="22">
        <v>21672</v>
      </c>
      <c r="CQ13" s="26">
        <v>19320.939999999999</v>
      </c>
      <c r="CR13" s="27">
        <v>21420</v>
      </c>
      <c r="CS13" s="27">
        <v>23444.94</v>
      </c>
      <c r="CT13" s="27">
        <v>25142</v>
      </c>
      <c r="CU13" s="284">
        <v>20613.419999999998</v>
      </c>
      <c r="CV13" s="26">
        <v>19610</v>
      </c>
      <c r="CW13" s="27">
        <v>22610</v>
      </c>
      <c r="CX13" s="27">
        <v>24083.87</v>
      </c>
      <c r="CY13" s="27">
        <v>25142</v>
      </c>
      <c r="CZ13" s="286">
        <v>23629.42</v>
      </c>
      <c r="DA13" s="26">
        <v>20260</v>
      </c>
      <c r="DB13" s="27">
        <v>23260</v>
      </c>
      <c r="DC13" s="27">
        <v>26260</v>
      </c>
      <c r="DD13" s="27">
        <v>27776</v>
      </c>
      <c r="DE13" s="286">
        <v>24602</v>
      </c>
      <c r="DF13" s="26">
        <v>19610</v>
      </c>
      <c r="DG13" s="27">
        <v>21420</v>
      </c>
      <c r="DH13" s="27">
        <v>23458.04</v>
      </c>
      <c r="DI13" s="28">
        <v>25142</v>
      </c>
      <c r="DJ13" s="26">
        <v>19790</v>
      </c>
      <c r="DK13" s="27">
        <v>22290</v>
      </c>
      <c r="DL13" s="27">
        <v>24151</v>
      </c>
      <c r="DM13" s="28">
        <v>26012</v>
      </c>
      <c r="DN13" s="39">
        <v>26330</v>
      </c>
      <c r="DO13" s="40">
        <v>28330</v>
      </c>
      <c r="DP13" s="40">
        <v>30680</v>
      </c>
      <c r="DQ13" s="40">
        <v>33680</v>
      </c>
      <c r="DR13" s="40">
        <v>36680</v>
      </c>
      <c r="DS13" s="40">
        <v>37580</v>
      </c>
      <c r="DT13" s="40">
        <v>41080</v>
      </c>
      <c r="DU13" s="40">
        <v>44080</v>
      </c>
      <c r="DV13" s="40">
        <v>45670</v>
      </c>
      <c r="DW13" s="40">
        <v>48670</v>
      </c>
      <c r="DX13" s="40">
        <v>51670</v>
      </c>
      <c r="DY13" s="40">
        <v>53460</v>
      </c>
      <c r="DZ13" s="40">
        <v>56460</v>
      </c>
      <c r="EA13" s="41">
        <v>59460</v>
      </c>
    </row>
    <row r="14" spans="1:131">
      <c r="A14" s="19">
        <v>11</v>
      </c>
      <c r="B14" s="20">
        <v>17980.78</v>
      </c>
      <c r="C14" s="21">
        <v>19053.21</v>
      </c>
      <c r="D14" s="21">
        <v>20311.009999999998</v>
      </c>
      <c r="E14" s="22">
        <v>21311.01</v>
      </c>
      <c r="F14" s="20">
        <v>18319.84</v>
      </c>
      <c r="G14" s="21">
        <v>19769.650000000001</v>
      </c>
      <c r="H14" s="21">
        <v>21035.53</v>
      </c>
      <c r="I14" s="22">
        <v>22535.53</v>
      </c>
      <c r="J14" s="59">
        <v>18594.07</v>
      </c>
      <c r="K14" s="53">
        <v>19235.53</v>
      </c>
      <c r="L14" s="53">
        <v>21579.43</v>
      </c>
      <c r="M14" s="53">
        <v>22809.51</v>
      </c>
      <c r="N14" s="53">
        <v>23130.34</v>
      </c>
      <c r="O14" s="60">
        <v>24008</v>
      </c>
      <c r="P14" s="79">
        <v>17725.05</v>
      </c>
      <c r="Q14" s="79">
        <v>23740.23</v>
      </c>
      <c r="R14" s="79">
        <v>24079.23</v>
      </c>
      <c r="S14" s="79">
        <v>24565.8</v>
      </c>
      <c r="T14" s="79">
        <v>17730.740000000002</v>
      </c>
      <c r="U14" s="79">
        <v>24045.7</v>
      </c>
      <c r="V14" s="79">
        <v>19448.82</v>
      </c>
      <c r="W14" s="79">
        <v>22269.62</v>
      </c>
      <c r="X14" s="20">
        <v>20335.8</v>
      </c>
      <c r="Y14" s="21">
        <v>21488.46</v>
      </c>
      <c r="Z14" s="21">
        <v>21947.02</v>
      </c>
      <c r="AA14" s="21">
        <v>23863</v>
      </c>
      <c r="AB14" s="22">
        <v>25563</v>
      </c>
      <c r="AC14" s="289">
        <v>21970</v>
      </c>
      <c r="AD14" s="290">
        <v>24470</v>
      </c>
      <c r="AE14" s="290">
        <v>26470</v>
      </c>
      <c r="AF14" s="290">
        <v>28470</v>
      </c>
      <c r="AG14" s="291">
        <v>30470</v>
      </c>
      <c r="AH14" s="20">
        <v>24242.61</v>
      </c>
      <c r="AI14" s="21">
        <v>26305.01</v>
      </c>
      <c r="AJ14" s="21">
        <v>26852.87</v>
      </c>
      <c r="AK14" s="21">
        <v>27673.42</v>
      </c>
      <c r="AL14" s="21">
        <v>30262</v>
      </c>
      <c r="AM14" s="21">
        <v>27169.19</v>
      </c>
      <c r="AN14" s="22">
        <v>29462.15</v>
      </c>
      <c r="AO14" s="20">
        <v>26334.43</v>
      </c>
      <c r="AP14" s="21">
        <v>28582.48</v>
      </c>
      <c r="AQ14" s="21">
        <v>29179.599999999999</v>
      </c>
      <c r="AR14" s="21">
        <v>30074.06</v>
      </c>
      <c r="AS14" s="21">
        <v>31074.06</v>
      </c>
      <c r="AT14" s="22">
        <v>30342.23</v>
      </c>
      <c r="AU14" s="20">
        <v>26870.25</v>
      </c>
      <c r="AV14" s="21">
        <v>31342.23</v>
      </c>
      <c r="AW14" s="21">
        <v>34961.449999999997</v>
      </c>
      <c r="AX14" s="21">
        <v>38580.71</v>
      </c>
      <c r="AY14" s="21">
        <v>41373.49</v>
      </c>
      <c r="AZ14" s="21">
        <v>45373</v>
      </c>
      <c r="BA14" s="21">
        <v>47009.1</v>
      </c>
      <c r="BB14" s="21">
        <v>45868.78</v>
      </c>
      <c r="BC14" s="22">
        <v>50454.77</v>
      </c>
      <c r="BD14" s="20">
        <v>33983.26</v>
      </c>
      <c r="BE14" s="21">
        <v>38036.81</v>
      </c>
      <c r="BF14" s="21">
        <v>39835.53</v>
      </c>
      <c r="BG14" s="21">
        <v>43855.93</v>
      </c>
      <c r="BH14" s="21">
        <v>47035.37</v>
      </c>
      <c r="BI14" s="22">
        <v>46929.33</v>
      </c>
      <c r="BJ14" s="75">
        <v>73185.81</v>
      </c>
      <c r="BK14" s="22">
        <v>65508.800000000003</v>
      </c>
      <c r="BL14" s="20">
        <v>13247</v>
      </c>
      <c r="BM14" s="21">
        <v>14061.7</v>
      </c>
      <c r="BN14" s="21">
        <v>15061.7</v>
      </c>
      <c r="BO14" s="22">
        <v>16061.7</v>
      </c>
      <c r="BP14" s="20">
        <v>14291</v>
      </c>
      <c r="BQ14" s="21">
        <v>15391</v>
      </c>
      <c r="BR14" s="21">
        <v>16391</v>
      </c>
      <c r="BS14" s="21">
        <v>17391</v>
      </c>
      <c r="BT14" s="284">
        <v>16309.63</v>
      </c>
      <c r="BU14" s="20">
        <v>14496.19</v>
      </c>
      <c r="BV14" s="21">
        <v>15509.3</v>
      </c>
      <c r="BW14" s="21">
        <v>16978.57</v>
      </c>
      <c r="BX14" s="22">
        <v>20193.82</v>
      </c>
      <c r="BY14" s="20">
        <v>14496.19</v>
      </c>
      <c r="BZ14" s="21">
        <v>15391</v>
      </c>
      <c r="CA14" s="21">
        <v>16978.57</v>
      </c>
      <c r="CB14" s="22">
        <v>20193.82</v>
      </c>
      <c r="CC14" s="20">
        <v>17035.53</v>
      </c>
      <c r="CD14" s="21">
        <v>18535.53</v>
      </c>
      <c r="CE14" s="21">
        <v>20171</v>
      </c>
      <c r="CF14" s="21">
        <v>21871</v>
      </c>
      <c r="CG14" s="284">
        <v>18844.89</v>
      </c>
      <c r="CH14" s="20">
        <v>17319.84</v>
      </c>
      <c r="CI14" s="21">
        <v>19019.84</v>
      </c>
      <c r="CJ14" s="21">
        <v>20319.84</v>
      </c>
      <c r="CK14" s="21">
        <v>21871</v>
      </c>
      <c r="CL14" s="284">
        <v>20930.34</v>
      </c>
      <c r="CM14" s="20">
        <v>18769.650000000001</v>
      </c>
      <c r="CN14" s="21">
        <v>18844.89</v>
      </c>
      <c r="CO14" s="21">
        <v>20930.34</v>
      </c>
      <c r="CP14" s="22">
        <v>21871</v>
      </c>
      <c r="CQ14" s="26">
        <v>19755</v>
      </c>
      <c r="CR14" s="27">
        <v>22093</v>
      </c>
      <c r="CS14" s="27">
        <v>24014</v>
      </c>
      <c r="CT14" s="27">
        <v>25935</v>
      </c>
      <c r="CU14" s="284">
        <v>21285.73</v>
      </c>
      <c r="CV14" s="26">
        <v>20031</v>
      </c>
      <c r="CW14" s="27">
        <v>23031</v>
      </c>
      <c r="CX14" s="27">
        <v>24756.18</v>
      </c>
      <c r="CY14" s="27">
        <v>25935</v>
      </c>
      <c r="CZ14" s="286">
        <v>24301.73</v>
      </c>
      <c r="DA14" s="26">
        <v>20933</v>
      </c>
      <c r="DB14" s="27">
        <v>23933</v>
      </c>
      <c r="DC14" s="27">
        <v>26933</v>
      </c>
      <c r="DD14" s="27">
        <v>28449</v>
      </c>
      <c r="DE14" s="286">
        <v>25274.31</v>
      </c>
      <c r="DF14" s="26">
        <v>20031</v>
      </c>
      <c r="DG14" s="27">
        <v>22093</v>
      </c>
      <c r="DH14" s="27">
        <v>24130.35</v>
      </c>
      <c r="DI14" s="28">
        <v>25935</v>
      </c>
      <c r="DJ14" s="26">
        <v>20463</v>
      </c>
      <c r="DK14" s="27">
        <v>22963</v>
      </c>
      <c r="DL14" s="27">
        <v>24884</v>
      </c>
      <c r="DM14" s="28">
        <v>26805</v>
      </c>
      <c r="DN14" s="42">
        <v>26775</v>
      </c>
      <c r="DO14" s="43">
        <v>28775</v>
      </c>
      <c r="DP14" s="43">
        <v>31160</v>
      </c>
      <c r="DQ14" s="43">
        <v>34160</v>
      </c>
      <c r="DR14" s="43">
        <v>37160</v>
      </c>
      <c r="DS14" s="43">
        <v>38100</v>
      </c>
      <c r="DT14" s="43">
        <v>41600</v>
      </c>
      <c r="DU14" s="43">
        <v>44600</v>
      </c>
      <c r="DV14" s="43">
        <v>46280</v>
      </c>
      <c r="DW14" s="43">
        <v>49280</v>
      </c>
      <c r="DX14" s="43">
        <v>52280</v>
      </c>
      <c r="DY14" s="43">
        <v>54070</v>
      </c>
      <c r="DZ14" s="43">
        <v>57070</v>
      </c>
      <c r="EA14" s="44">
        <v>60070</v>
      </c>
    </row>
    <row r="15" spans="1:131">
      <c r="A15" s="19">
        <v>12</v>
      </c>
      <c r="B15" s="20">
        <v>18228.68</v>
      </c>
      <c r="C15" s="21">
        <v>19325.900000000001</v>
      </c>
      <c r="D15" s="21">
        <v>20658.07</v>
      </c>
      <c r="E15" s="22">
        <v>21658.07</v>
      </c>
      <c r="F15" s="20">
        <v>18319.84</v>
      </c>
      <c r="G15" s="21">
        <v>19769.650000000001</v>
      </c>
      <c r="H15" s="21">
        <v>21035.53</v>
      </c>
      <c r="I15" s="22">
        <v>22535.53</v>
      </c>
      <c r="J15" s="59">
        <v>18594.07</v>
      </c>
      <c r="K15" s="53">
        <v>19235.53</v>
      </c>
      <c r="L15" s="53">
        <v>21579.43</v>
      </c>
      <c r="M15" s="53">
        <v>22809.51</v>
      </c>
      <c r="N15" s="53">
        <v>23130.34</v>
      </c>
      <c r="O15" s="60">
        <v>24008</v>
      </c>
      <c r="P15" s="79">
        <v>17725.05</v>
      </c>
      <c r="Q15" s="79">
        <v>23740.23</v>
      </c>
      <c r="R15" s="79">
        <v>24079.23</v>
      </c>
      <c r="S15" s="79">
        <v>24565.8</v>
      </c>
      <c r="T15" s="79">
        <v>17730.740000000002</v>
      </c>
      <c r="U15" s="79">
        <v>24045.7</v>
      </c>
      <c r="V15" s="79">
        <v>19448.82</v>
      </c>
      <c r="W15" s="79">
        <v>22269.62</v>
      </c>
      <c r="X15" s="20">
        <v>20682.86</v>
      </c>
      <c r="Y15" s="21">
        <v>21872.7</v>
      </c>
      <c r="Z15" s="21">
        <v>22368.44</v>
      </c>
      <c r="AA15" s="21">
        <v>24063</v>
      </c>
      <c r="AB15" s="22">
        <v>25763</v>
      </c>
      <c r="AC15" s="289">
        <v>22240</v>
      </c>
      <c r="AD15" s="290">
        <v>24740</v>
      </c>
      <c r="AE15" s="290">
        <v>26740</v>
      </c>
      <c r="AF15" s="290">
        <v>28740</v>
      </c>
      <c r="AG15" s="291">
        <v>30740</v>
      </c>
      <c r="AH15" s="20">
        <v>24778.07</v>
      </c>
      <c r="AI15" s="21">
        <v>26870.21</v>
      </c>
      <c r="AJ15" s="21">
        <v>27445.34</v>
      </c>
      <c r="AK15" s="21">
        <v>28317.95</v>
      </c>
      <c r="AL15" s="21">
        <v>30532</v>
      </c>
      <c r="AM15" s="21">
        <v>27788.93</v>
      </c>
      <c r="AN15" s="22">
        <v>30044.7</v>
      </c>
      <c r="AO15" s="20">
        <v>26918.080000000002</v>
      </c>
      <c r="AP15" s="21">
        <v>29198.55</v>
      </c>
      <c r="AQ15" s="21">
        <v>29825.39</v>
      </c>
      <c r="AR15" s="21">
        <v>30776.6</v>
      </c>
      <c r="AS15" s="21">
        <v>31776.6</v>
      </c>
      <c r="AT15" s="22">
        <v>30937.18</v>
      </c>
      <c r="AU15" s="20">
        <v>27306.55</v>
      </c>
      <c r="AV15" s="21">
        <v>31937.18</v>
      </c>
      <c r="AW15" s="21">
        <v>35705.14</v>
      </c>
      <c r="AX15" s="21">
        <v>39473.129999999997</v>
      </c>
      <c r="AY15" s="21">
        <v>42340.28</v>
      </c>
      <c r="AZ15" s="21">
        <v>46315</v>
      </c>
      <c r="BA15" s="21">
        <v>47975.89</v>
      </c>
      <c r="BB15" s="21">
        <v>47356.15</v>
      </c>
      <c r="BC15" s="22">
        <v>52066.080000000002</v>
      </c>
      <c r="BD15" s="20">
        <v>34649.599999999999</v>
      </c>
      <c r="BE15" s="21">
        <v>38869.74</v>
      </c>
      <c r="BF15" s="21">
        <v>40781.5</v>
      </c>
      <c r="BG15" s="21">
        <v>44880.73</v>
      </c>
      <c r="BH15" s="21">
        <v>48033.89</v>
      </c>
      <c r="BI15" s="22">
        <v>47915.46</v>
      </c>
      <c r="BJ15" s="75">
        <v>73185.81</v>
      </c>
      <c r="BK15" s="22">
        <v>65508.800000000003</v>
      </c>
      <c r="BL15" s="20">
        <v>13274</v>
      </c>
      <c r="BM15" s="21">
        <v>14074</v>
      </c>
      <c r="BN15" s="21">
        <v>15061.7</v>
      </c>
      <c r="BO15" s="22">
        <v>16061.7</v>
      </c>
      <c r="BP15" s="20">
        <v>14413</v>
      </c>
      <c r="BQ15" s="21">
        <v>15513</v>
      </c>
      <c r="BR15" s="21">
        <v>16513</v>
      </c>
      <c r="BS15" s="21">
        <v>17513</v>
      </c>
      <c r="BT15" s="284">
        <v>16309.63</v>
      </c>
      <c r="BU15" s="20">
        <v>14496.19</v>
      </c>
      <c r="BV15" s="21">
        <v>15513</v>
      </c>
      <c r="BW15" s="21">
        <v>16978.57</v>
      </c>
      <c r="BX15" s="22">
        <v>20193.82</v>
      </c>
      <c r="BY15" s="20">
        <v>14496.19</v>
      </c>
      <c r="BZ15" s="21">
        <v>15513</v>
      </c>
      <c r="CA15" s="21">
        <v>16978.57</v>
      </c>
      <c r="CB15" s="22">
        <v>20193.82</v>
      </c>
      <c r="CC15" s="20">
        <v>17035.53</v>
      </c>
      <c r="CD15" s="21">
        <v>18671</v>
      </c>
      <c r="CE15" s="21">
        <v>20371</v>
      </c>
      <c r="CF15" s="21">
        <v>22071</v>
      </c>
      <c r="CG15" s="284">
        <v>18844.89</v>
      </c>
      <c r="CH15" s="20">
        <v>17319.84</v>
      </c>
      <c r="CI15" s="21">
        <v>19019.84</v>
      </c>
      <c r="CJ15" s="21">
        <v>20371</v>
      </c>
      <c r="CK15" s="21">
        <v>22071</v>
      </c>
      <c r="CL15" s="284">
        <v>20930.34</v>
      </c>
      <c r="CM15" s="20">
        <v>18769.650000000001</v>
      </c>
      <c r="CN15" s="21">
        <v>18844.89</v>
      </c>
      <c r="CO15" s="21">
        <v>20930.34</v>
      </c>
      <c r="CP15" s="22">
        <v>22071</v>
      </c>
      <c r="CQ15" s="26">
        <v>19755</v>
      </c>
      <c r="CR15" s="27">
        <v>22093</v>
      </c>
      <c r="CS15" s="27">
        <v>24014</v>
      </c>
      <c r="CT15" s="27">
        <v>25935</v>
      </c>
      <c r="CU15" s="284">
        <v>21285.73</v>
      </c>
      <c r="CV15" s="26">
        <v>20031</v>
      </c>
      <c r="CW15" s="27">
        <v>23031</v>
      </c>
      <c r="CX15" s="27">
        <v>24756.18</v>
      </c>
      <c r="CY15" s="27">
        <v>25935</v>
      </c>
      <c r="CZ15" s="286">
        <v>24301.73</v>
      </c>
      <c r="DA15" s="26">
        <v>20933</v>
      </c>
      <c r="DB15" s="27">
        <v>23933</v>
      </c>
      <c r="DC15" s="27">
        <v>26933</v>
      </c>
      <c r="DD15" s="27">
        <v>28449</v>
      </c>
      <c r="DE15" s="286">
        <v>25274.31</v>
      </c>
      <c r="DF15" s="26">
        <v>20031</v>
      </c>
      <c r="DG15" s="27">
        <v>22093</v>
      </c>
      <c r="DH15" s="27">
        <v>24130.35</v>
      </c>
      <c r="DI15" s="28">
        <v>25935</v>
      </c>
      <c r="DJ15" s="26">
        <v>20463</v>
      </c>
      <c r="DK15" s="27">
        <v>22963</v>
      </c>
      <c r="DL15" s="27">
        <v>24884</v>
      </c>
      <c r="DM15" s="28">
        <v>26805</v>
      </c>
      <c r="DN15" s="39">
        <v>27220</v>
      </c>
      <c r="DO15" s="40">
        <v>29220</v>
      </c>
      <c r="DP15" s="40">
        <v>31640</v>
      </c>
      <c r="DQ15" s="40">
        <v>34640</v>
      </c>
      <c r="DR15" s="40">
        <v>37640</v>
      </c>
      <c r="DS15" s="40">
        <v>38620</v>
      </c>
      <c r="DT15" s="40">
        <v>42120</v>
      </c>
      <c r="DU15" s="40">
        <v>45120</v>
      </c>
      <c r="DV15" s="40">
        <v>46890</v>
      </c>
      <c r="DW15" s="40">
        <v>49890</v>
      </c>
      <c r="DX15" s="40">
        <v>52890</v>
      </c>
      <c r="DY15" s="40">
        <v>54680</v>
      </c>
      <c r="DZ15" s="40">
        <v>57680</v>
      </c>
      <c r="EA15" s="41">
        <v>60680</v>
      </c>
    </row>
    <row r="16" spans="1:131">
      <c r="A16" s="19">
        <v>13</v>
      </c>
      <c r="B16" s="20">
        <v>18656.580000000002</v>
      </c>
      <c r="C16" s="21">
        <v>19516.64</v>
      </c>
      <c r="D16" s="21">
        <v>21005.13</v>
      </c>
      <c r="E16" s="22">
        <v>22005.13</v>
      </c>
      <c r="F16" s="20">
        <v>19123.45</v>
      </c>
      <c r="G16" s="21">
        <v>20304.78</v>
      </c>
      <c r="H16" s="21">
        <v>21659.14</v>
      </c>
      <c r="I16" s="22">
        <v>23159.14</v>
      </c>
      <c r="J16" s="59">
        <v>19217.68</v>
      </c>
      <c r="K16" s="53">
        <v>19859.14</v>
      </c>
      <c r="L16" s="53">
        <v>22203.040000000001</v>
      </c>
      <c r="M16" s="53">
        <v>23433.119999999999</v>
      </c>
      <c r="N16" s="53">
        <v>23753.95</v>
      </c>
      <c r="O16" s="60">
        <v>24631.61</v>
      </c>
      <c r="P16" s="79">
        <v>17725.05</v>
      </c>
      <c r="Q16" s="79">
        <v>23740.23</v>
      </c>
      <c r="R16" s="79">
        <v>24079.23</v>
      </c>
      <c r="S16" s="79">
        <v>24565.8</v>
      </c>
      <c r="T16" s="79">
        <v>17730.740000000002</v>
      </c>
      <c r="U16" s="79">
        <v>24045.7</v>
      </c>
      <c r="V16" s="79">
        <v>19448.82</v>
      </c>
      <c r="W16" s="79">
        <v>22269.62</v>
      </c>
      <c r="X16" s="20">
        <v>21029.919999999998</v>
      </c>
      <c r="Y16" s="21">
        <v>22256.94</v>
      </c>
      <c r="Z16" s="21">
        <v>22789.86</v>
      </c>
      <c r="AA16" s="21">
        <v>24263</v>
      </c>
      <c r="AB16" s="22">
        <v>25963</v>
      </c>
      <c r="AC16" s="289">
        <v>22510</v>
      </c>
      <c r="AD16" s="290">
        <v>25010</v>
      </c>
      <c r="AE16" s="290">
        <v>27010</v>
      </c>
      <c r="AF16" s="290">
        <v>29010</v>
      </c>
      <c r="AG16" s="291">
        <v>31010</v>
      </c>
      <c r="AH16" s="20">
        <v>25313.53</v>
      </c>
      <c r="AI16" s="21">
        <v>27435.41</v>
      </c>
      <c r="AJ16" s="21">
        <v>28037.81</v>
      </c>
      <c r="AK16" s="21">
        <v>28962.48</v>
      </c>
      <c r="AL16" s="21">
        <v>30802</v>
      </c>
      <c r="AM16" s="21">
        <v>28408.67</v>
      </c>
      <c r="AN16" s="22">
        <v>30627.25</v>
      </c>
      <c r="AO16" s="20">
        <v>27501.73</v>
      </c>
      <c r="AP16" s="21">
        <v>29814.62</v>
      </c>
      <c r="AQ16" s="21">
        <v>30471.18</v>
      </c>
      <c r="AR16" s="21">
        <v>31479.14</v>
      </c>
      <c r="AS16" s="21">
        <v>32479.14</v>
      </c>
      <c r="AT16" s="22">
        <v>31532.13</v>
      </c>
      <c r="AU16" s="20">
        <v>27742.85</v>
      </c>
      <c r="AV16" s="21">
        <v>32532.13</v>
      </c>
      <c r="AW16" s="21">
        <v>36101.769999999997</v>
      </c>
      <c r="AX16" s="21">
        <v>39894.550000000003</v>
      </c>
      <c r="AY16" s="21">
        <v>42786.49</v>
      </c>
      <c r="AZ16" s="21">
        <v>46550.5</v>
      </c>
      <c r="BA16" s="21">
        <v>48347.74</v>
      </c>
      <c r="BB16" s="21">
        <v>47356.15</v>
      </c>
      <c r="BC16" s="22">
        <v>52066.080000000002</v>
      </c>
      <c r="BD16" s="20">
        <v>35315.94</v>
      </c>
      <c r="BE16" s="21">
        <v>39313.97</v>
      </c>
      <c r="BF16" s="21">
        <v>41228.21</v>
      </c>
      <c r="BG16" s="21">
        <v>45353.72</v>
      </c>
      <c r="BH16" s="21">
        <v>48283.519999999997</v>
      </c>
      <c r="BI16" s="22">
        <v>48294.74</v>
      </c>
      <c r="BJ16" s="75">
        <v>73185.81</v>
      </c>
      <c r="BK16" s="22">
        <v>65508.800000000003</v>
      </c>
      <c r="BL16" s="20">
        <v>13301</v>
      </c>
      <c r="BM16" s="21">
        <v>14121.04</v>
      </c>
      <c r="BN16" s="21">
        <v>15121.04</v>
      </c>
      <c r="BO16" s="22">
        <v>16121.04</v>
      </c>
      <c r="BP16" s="20">
        <v>14534</v>
      </c>
      <c r="BQ16" s="21">
        <v>15634</v>
      </c>
      <c r="BR16" s="21">
        <v>16634</v>
      </c>
      <c r="BS16" s="21">
        <v>17634</v>
      </c>
      <c r="BT16" s="284">
        <v>16658.68</v>
      </c>
      <c r="BU16" s="20">
        <v>14717.46</v>
      </c>
      <c r="BV16" s="21">
        <v>15722.8</v>
      </c>
      <c r="BW16" s="21">
        <v>17327.62</v>
      </c>
      <c r="BX16" s="22">
        <v>20546.849999999999</v>
      </c>
      <c r="BY16" s="20">
        <v>14717.46</v>
      </c>
      <c r="BZ16" s="21">
        <v>15634</v>
      </c>
      <c r="CA16" s="21">
        <v>17327.62</v>
      </c>
      <c r="CB16" s="22">
        <v>20546.849999999999</v>
      </c>
      <c r="CC16" s="20">
        <v>17659.14</v>
      </c>
      <c r="CD16" s="21">
        <v>19159.14</v>
      </c>
      <c r="CE16" s="21">
        <v>20659.14</v>
      </c>
      <c r="CF16" s="21">
        <v>22271</v>
      </c>
      <c r="CG16" s="284">
        <v>19468.5</v>
      </c>
      <c r="CH16" s="20">
        <v>17943.45</v>
      </c>
      <c r="CI16" s="21">
        <v>19643.45</v>
      </c>
      <c r="CJ16" s="21">
        <v>20943.45</v>
      </c>
      <c r="CK16" s="21">
        <v>22443.45</v>
      </c>
      <c r="CL16" s="284">
        <v>21553.95</v>
      </c>
      <c r="CM16" s="20">
        <v>19304.78</v>
      </c>
      <c r="CN16" s="21">
        <v>19468.5</v>
      </c>
      <c r="CO16" s="21">
        <v>21553.95</v>
      </c>
      <c r="CP16" s="22">
        <v>22431.61</v>
      </c>
      <c r="CQ16" s="26">
        <v>20218</v>
      </c>
      <c r="CR16" s="27">
        <v>22718</v>
      </c>
      <c r="CS16" s="27">
        <v>24723</v>
      </c>
      <c r="CT16" s="27">
        <v>26728</v>
      </c>
      <c r="CU16" s="284">
        <v>21958.04</v>
      </c>
      <c r="CV16" s="26">
        <v>20403</v>
      </c>
      <c r="CW16" s="27">
        <v>23403</v>
      </c>
      <c r="CX16" s="27">
        <v>25428.49</v>
      </c>
      <c r="CY16" s="27">
        <v>26728</v>
      </c>
      <c r="CZ16" s="286">
        <v>24974.04</v>
      </c>
      <c r="DA16" s="26">
        <v>21558</v>
      </c>
      <c r="DB16" s="27">
        <v>24558</v>
      </c>
      <c r="DC16" s="27">
        <v>27558</v>
      </c>
      <c r="DD16" s="27">
        <v>29122</v>
      </c>
      <c r="DE16" s="286">
        <v>25953.65</v>
      </c>
      <c r="DF16" s="26">
        <v>20403</v>
      </c>
      <c r="DG16" s="27">
        <v>22718</v>
      </c>
      <c r="DH16" s="27">
        <v>24754.62</v>
      </c>
      <c r="DI16" s="28">
        <v>26728</v>
      </c>
      <c r="DJ16" s="26">
        <v>21088</v>
      </c>
      <c r="DK16" s="27">
        <v>23588</v>
      </c>
      <c r="DL16" s="27">
        <v>25593</v>
      </c>
      <c r="DM16" s="28">
        <v>27598</v>
      </c>
      <c r="DN16" s="42">
        <v>27665</v>
      </c>
      <c r="DO16" s="43">
        <v>29665</v>
      </c>
      <c r="DP16" s="43">
        <v>32120</v>
      </c>
      <c r="DQ16" s="43">
        <v>35120</v>
      </c>
      <c r="DR16" s="43">
        <v>38120</v>
      </c>
      <c r="DS16" s="43">
        <v>39140</v>
      </c>
      <c r="DT16" s="43">
        <v>42640</v>
      </c>
      <c r="DU16" s="43">
        <v>45640</v>
      </c>
      <c r="DV16" s="43">
        <v>47500</v>
      </c>
      <c r="DW16" s="43">
        <v>50500</v>
      </c>
      <c r="DX16" s="43">
        <v>53500</v>
      </c>
      <c r="DY16" s="43">
        <v>55290</v>
      </c>
      <c r="DZ16" s="43">
        <v>58290</v>
      </c>
      <c r="EA16" s="44">
        <v>61290</v>
      </c>
    </row>
    <row r="17" spans="1:131">
      <c r="A17" s="19">
        <v>14</v>
      </c>
      <c r="B17" s="20">
        <v>18792.93</v>
      </c>
      <c r="C17" s="21">
        <v>19567.330000000002</v>
      </c>
      <c r="D17" s="21">
        <v>21203.45</v>
      </c>
      <c r="E17" s="22">
        <v>22203.45</v>
      </c>
      <c r="F17" s="20">
        <v>19123.45</v>
      </c>
      <c r="G17" s="21">
        <v>20304.78</v>
      </c>
      <c r="H17" s="21">
        <v>21659.14</v>
      </c>
      <c r="I17" s="22">
        <v>23159.14</v>
      </c>
      <c r="J17" s="59">
        <v>19217.68</v>
      </c>
      <c r="K17" s="53">
        <v>19859.14</v>
      </c>
      <c r="L17" s="53">
        <v>22203.040000000001</v>
      </c>
      <c r="M17" s="53">
        <v>23433.119999999999</v>
      </c>
      <c r="N17" s="53">
        <v>23753.95</v>
      </c>
      <c r="O17" s="60">
        <v>24631.61</v>
      </c>
      <c r="P17" s="79">
        <v>17725.05</v>
      </c>
      <c r="Q17" s="79">
        <v>23740.23</v>
      </c>
      <c r="R17" s="79">
        <v>24079.23</v>
      </c>
      <c r="S17" s="79">
        <v>24565.8</v>
      </c>
      <c r="T17" s="79">
        <v>17730.740000000002</v>
      </c>
      <c r="U17" s="79">
        <v>24045.7</v>
      </c>
      <c r="V17" s="79">
        <v>19448.82</v>
      </c>
      <c r="W17" s="79">
        <v>22269.62</v>
      </c>
      <c r="X17" s="20">
        <v>21228.240000000002</v>
      </c>
      <c r="Y17" s="21">
        <v>22504.84</v>
      </c>
      <c r="Z17" s="21">
        <v>23020.41</v>
      </c>
      <c r="AA17" s="21">
        <v>24463</v>
      </c>
      <c r="AB17" s="22">
        <v>26163</v>
      </c>
      <c r="AC17" s="289">
        <v>22779</v>
      </c>
      <c r="AD17" s="290">
        <v>25279</v>
      </c>
      <c r="AE17" s="290">
        <v>27279</v>
      </c>
      <c r="AF17" s="290">
        <v>29279</v>
      </c>
      <c r="AG17" s="291">
        <v>31279</v>
      </c>
      <c r="AH17" s="20">
        <v>25601.09</v>
      </c>
      <c r="AI17" s="21">
        <v>27740.32</v>
      </c>
      <c r="AJ17" s="21">
        <v>28360.080000000002</v>
      </c>
      <c r="AK17" s="21">
        <v>29309.54</v>
      </c>
      <c r="AL17" s="21">
        <v>31071</v>
      </c>
      <c r="AM17" s="21">
        <v>28755.73</v>
      </c>
      <c r="AN17" s="22">
        <v>30949.52</v>
      </c>
      <c r="AO17" s="20">
        <v>27815.17</v>
      </c>
      <c r="AP17" s="21">
        <v>30146.98</v>
      </c>
      <c r="AQ17" s="21">
        <v>30822.45</v>
      </c>
      <c r="AR17" s="21">
        <v>31857.43</v>
      </c>
      <c r="AS17" s="21">
        <v>32857.43</v>
      </c>
      <c r="AT17" s="22">
        <v>31879.19</v>
      </c>
      <c r="AU17" s="20">
        <v>27993.23</v>
      </c>
      <c r="AV17" s="21">
        <v>32879.19</v>
      </c>
      <c r="AW17" s="21">
        <v>36498.400000000001</v>
      </c>
      <c r="AX17" s="21">
        <v>40315.97</v>
      </c>
      <c r="AY17" s="21">
        <v>43232.7</v>
      </c>
      <c r="AZ17" s="21">
        <v>46786</v>
      </c>
      <c r="BA17" s="21">
        <v>48719.59</v>
      </c>
      <c r="BB17" s="21">
        <v>48843.519999999997</v>
      </c>
      <c r="BC17" s="22">
        <v>53677.39</v>
      </c>
      <c r="BD17" s="20">
        <v>35704.639999999999</v>
      </c>
      <c r="BE17" s="21">
        <v>39758.199999999997</v>
      </c>
      <c r="BF17" s="21">
        <v>41674.92</v>
      </c>
      <c r="BG17" s="21">
        <v>45826.71</v>
      </c>
      <c r="BH17" s="21">
        <v>48533.15</v>
      </c>
      <c r="BI17" s="22">
        <v>48674.02</v>
      </c>
      <c r="BJ17" s="75">
        <v>73185.81</v>
      </c>
      <c r="BK17" s="22">
        <v>65508.800000000003</v>
      </c>
      <c r="BL17" s="20">
        <v>13328</v>
      </c>
      <c r="BM17" s="21">
        <v>14128</v>
      </c>
      <c r="BN17" s="21">
        <v>15121.04</v>
      </c>
      <c r="BO17" s="22">
        <v>16121.04</v>
      </c>
      <c r="BP17" s="20">
        <v>14656</v>
      </c>
      <c r="BQ17" s="21">
        <v>15756</v>
      </c>
      <c r="BR17" s="21">
        <v>16756</v>
      </c>
      <c r="BS17" s="21">
        <v>17756</v>
      </c>
      <c r="BT17" s="284">
        <v>16658.68</v>
      </c>
      <c r="BU17" s="20">
        <v>14717.46</v>
      </c>
      <c r="BV17" s="21">
        <v>15756</v>
      </c>
      <c r="BW17" s="21">
        <v>17327.62</v>
      </c>
      <c r="BX17" s="22">
        <v>20546.849999999999</v>
      </c>
      <c r="BY17" s="20">
        <v>14717.46</v>
      </c>
      <c r="BZ17" s="21">
        <v>15756</v>
      </c>
      <c r="CA17" s="21">
        <v>17327.62</v>
      </c>
      <c r="CB17" s="22">
        <v>20546.849999999999</v>
      </c>
      <c r="CC17" s="20">
        <v>17659.14</v>
      </c>
      <c r="CD17" s="21">
        <v>19159.14</v>
      </c>
      <c r="CE17" s="21">
        <v>20771</v>
      </c>
      <c r="CF17" s="21">
        <v>22471</v>
      </c>
      <c r="CG17" s="284">
        <v>19468.5</v>
      </c>
      <c r="CH17" s="20">
        <v>17943.45</v>
      </c>
      <c r="CI17" s="21">
        <v>19643.45</v>
      </c>
      <c r="CJ17" s="21">
        <v>20943.45</v>
      </c>
      <c r="CK17" s="21">
        <v>22471</v>
      </c>
      <c r="CL17" s="284">
        <v>21553.95</v>
      </c>
      <c r="CM17" s="20">
        <v>19304.78</v>
      </c>
      <c r="CN17" s="21">
        <v>19468.5</v>
      </c>
      <c r="CO17" s="21">
        <v>21553.95</v>
      </c>
      <c r="CP17" s="22">
        <v>22471</v>
      </c>
      <c r="CQ17" s="26">
        <v>20218</v>
      </c>
      <c r="CR17" s="27">
        <v>22718</v>
      </c>
      <c r="CS17" s="27">
        <v>24723</v>
      </c>
      <c r="CT17" s="27">
        <v>26728</v>
      </c>
      <c r="CU17" s="284">
        <v>21958.04</v>
      </c>
      <c r="CV17" s="26">
        <v>20403</v>
      </c>
      <c r="CW17" s="27">
        <v>23403</v>
      </c>
      <c r="CX17" s="27">
        <v>25428.49</v>
      </c>
      <c r="CY17" s="27">
        <v>26728</v>
      </c>
      <c r="CZ17" s="286">
        <v>24974.04</v>
      </c>
      <c r="DA17" s="26">
        <v>21558</v>
      </c>
      <c r="DB17" s="27">
        <v>24558</v>
      </c>
      <c r="DC17" s="27">
        <v>27558</v>
      </c>
      <c r="DD17" s="27">
        <v>29122</v>
      </c>
      <c r="DE17" s="286">
        <v>25953.65</v>
      </c>
      <c r="DF17" s="26">
        <v>20403</v>
      </c>
      <c r="DG17" s="27">
        <v>22718</v>
      </c>
      <c r="DH17" s="27">
        <v>24754.62</v>
      </c>
      <c r="DI17" s="28">
        <v>26728</v>
      </c>
      <c r="DJ17" s="26">
        <v>21088</v>
      </c>
      <c r="DK17" s="27">
        <v>23588</v>
      </c>
      <c r="DL17" s="27">
        <v>25593</v>
      </c>
      <c r="DM17" s="28">
        <v>27598</v>
      </c>
      <c r="DN17" s="39">
        <v>28110</v>
      </c>
      <c r="DO17" s="40">
        <v>30110</v>
      </c>
      <c r="DP17" s="40">
        <v>32600</v>
      </c>
      <c r="DQ17" s="40">
        <v>35600</v>
      </c>
      <c r="DR17" s="40">
        <v>38600</v>
      </c>
      <c r="DS17" s="40">
        <v>39660</v>
      </c>
      <c r="DT17" s="40">
        <v>43160</v>
      </c>
      <c r="DU17" s="40">
        <v>46160</v>
      </c>
      <c r="DV17" s="40">
        <v>48110</v>
      </c>
      <c r="DW17" s="40">
        <v>51110</v>
      </c>
      <c r="DX17" s="40">
        <v>54110</v>
      </c>
      <c r="DY17" s="40">
        <v>55900</v>
      </c>
      <c r="DZ17" s="40">
        <v>58900</v>
      </c>
      <c r="EA17" s="41">
        <v>61900</v>
      </c>
    </row>
    <row r="18" spans="1:131">
      <c r="A18" s="19">
        <v>15</v>
      </c>
      <c r="B18" s="20">
        <v>18929.28</v>
      </c>
      <c r="C18" s="21">
        <v>19716.07</v>
      </c>
      <c r="D18" s="21">
        <v>21401.77</v>
      </c>
      <c r="E18" s="22">
        <v>22401.77</v>
      </c>
      <c r="F18" s="20">
        <v>19567.060000000001</v>
      </c>
      <c r="G18" s="21">
        <v>20839.91</v>
      </c>
      <c r="H18" s="21">
        <v>22282.75</v>
      </c>
      <c r="I18" s="22">
        <v>23782.75</v>
      </c>
      <c r="J18" s="59">
        <v>19841.29</v>
      </c>
      <c r="K18" s="53">
        <v>20482.75</v>
      </c>
      <c r="L18" s="53">
        <v>22826.65</v>
      </c>
      <c r="M18" s="53">
        <v>24056.73</v>
      </c>
      <c r="N18" s="53">
        <v>24377.56</v>
      </c>
      <c r="O18" s="60">
        <v>25255.22</v>
      </c>
      <c r="P18" s="79">
        <v>17725.05</v>
      </c>
      <c r="Q18" s="79">
        <v>23740.23</v>
      </c>
      <c r="R18" s="79">
        <v>24079.23</v>
      </c>
      <c r="S18" s="79">
        <v>24565.8</v>
      </c>
      <c r="T18" s="79">
        <v>17730.740000000002</v>
      </c>
      <c r="U18" s="79">
        <v>24045.7</v>
      </c>
      <c r="V18" s="79">
        <v>19448.82</v>
      </c>
      <c r="W18" s="79">
        <v>22269.62</v>
      </c>
      <c r="X18" s="20">
        <v>21426.560000000001</v>
      </c>
      <c r="Y18" s="21">
        <v>22752.74</v>
      </c>
      <c r="Z18" s="21">
        <v>23250.959999999999</v>
      </c>
      <c r="AA18" s="21">
        <v>24662</v>
      </c>
      <c r="AB18" s="22">
        <v>26362</v>
      </c>
      <c r="AC18" s="289">
        <v>23049</v>
      </c>
      <c r="AD18" s="290">
        <v>25549</v>
      </c>
      <c r="AE18" s="290">
        <v>27549</v>
      </c>
      <c r="AF18" s="290">
        <v>29549</v>
      </c>
      <c r="AG18" s="291">
        <v>31549</v>
      </c>
      <c r="AH18" s="20">
        <v>25888.65</v>
      </c>
      <c r="AI18" s="21">
        <v>28045.23</v>
      </c>
      <c r="AJ18" s="21">
        <v>28682.35</v>
      </c>
      <c r="AK18" s="21">
        <v>29656.6</v>
      </c>
      <c r="AL18" s="21">
        <v>31341</v>
      </c>
      <c r="AM18" s="21">
        <v>29102.79</v>
      </c>
      <c r="AN18" s="22">
        <v>31271.79</v>
      </c>
      <c r="AO18" s="20">
        <v>28128.61</v>
      </c>
      <c r="AP18" s="21">
        <v>30479.34</v>
      </c>
      <c r="AQ18" s="21">
        <v>31173.72</v>
      </c>
      <c r="AR18" s="21">
        <v>32235.72</v>
      </c>
      <c r="AS18" s="21">
        <v>33235.72</v>
      </c>
      <c r="AT18" s="22">
        <v>32226.25</v>
      </c>
      <c r="AU18" s="20">
        <v>28243.61</v>
      </c>
      <c r="AV18" s="21">
        <v>33226.25</v>
      </c>
      <c r="AW18" s="21">
        <v>36895.03</v>
      </c>
      <c r="AX18" s="21">
        <v>40737.39</v>
      </c>
      <c r="AY18" s="21">
        <v>43678.91</v>
      </c>
      <c r="AZ18" s="21">
        <v>47021.5</v>
      </c>
      <c r="BA18" s="21">
        <v>49091.44</v>
      </c>
      <c r="BB18" s="21">
        <v>48843.519999999997</v>
      </c>
      <c r="BC18" s="22">
        <v>53677.39</v>
      </c>
      <c r="BD18" s="20">
        <v>36093.339999999997</v>
      </c>
      <c r="BE18" s="21">
        <v>40202.43</v>
      </c>
      <c r="BF18" s="21">
        <v>42121.63</v>
      </c>
      <c r="BG18" s="21">
        <v>46299.7</v>
      </c>
      <c r="BH18" s="21">
        <v>48782.78</v>
      </c>
      <c r="BI18" s="22">
        <v>49053.3</v>
      </c>
      <c r="BJ18" s="75">
        <v>73185.81</v>
      </c>
      <c r="BK18" s="22">
        <v>65508.800000000003</v>
      </c>
      <c r="BL18" s="20">
        <v>13355</v>
      </c>
      <c r="BM18" s="21">
        <v>14180.38</v>
      </c>
      <c r="BN18" s="21">
        <v>15180.38</v>
      </c>
      <c r="BO18" s="22">
        <v>16180.38</v>
      </c>
      <c r="BP18" s="20">
        <v>14778</v>
      </c>
      <c r="BQ18" s="21">
        <v>15878</v>
      </c>
      <c r="BR18" s="21">
        <v>16878</v>
      </c>
      <c r="BS18" s="21">
        <v>17878</v>
      </c>
      <c r="BT18" s="284">
        <v>17007.73</v>
      </c>
      <c r="BU18" s="20">
        <v>15066.51</v>
      </c>
      <c r="BV18" s="21">
        <v>16071.85</v>
      </c>
      <c r="BW18" s="21">
        <v>17676.669999999998</v>
      </c>
      <c r="BX18" s="22">
        <v>20899.88</v>
      </c>
      <c r="BY18" s="20">
        <v>15066.51</v>
      </c>
      <c r="BZ18" s="21">
        <v>15919.1</v>
      </c>
      <c r="CA18" s="21">
        <v>17676.669999999998</v>
      </c>
      <c r="CB18" s="22">
        <v>20899.88</v>
      </c>
      <c r="CC18" s="20">
        <v>18282.75</v>
      </c>
      <c r="CD18" s="21">
        <v>19782.75</v>
      </c>
      <c r="CE18" s="21">
        <v>21282.75</v>
      </c>
      <c r="CF18" s="21">
        <v>22782.75</v>
      </c>
      <c r="CG18" s="284">
        <v>20092.11</v>
      </c>
      <c r="CH18" s="20">
        <v>18567.060000000001</v>
      </c>
      <c r="CI18" s="21">
        <v>20267.060000000001</v>
      </c>
      <c r="CJ18" s="21">
        <v>21567.06</v>
      </c>
      <c r="CK18" s="21">
        <v>23067.06</v>
      </c>
      <c r="CL18" s="284">
        <v>22177.56</v>
      </c>
      <c r="CM18" s="20">
        <v>19839.91</v>
      </c>
      <c r="CN18" s="21">
        <v>20092.11</v>
      </c>
      <c r="CO18" s="21">
        <v>22177.56</v>
      </c>
      <c r="CP18" s="22">
        <v>23055.22</v>
      </c>
      <c r="CQ18" s="26">
        <v>20843</v>
      </c>
      <c r="CR18" s="27">
        <v>23343</v>
      </c>
      <c r="CS18" s="27">
        <v>25432</v>
      </c>
      <c r="CT18" s="27">
        <v>27521</v>
      </c>
      <c r="CU18" s="284">
        <v>22582.31</v>
      </c>
      <c r="CV18" s="26">
        <v>20843</v>
      </c>
      <c r="CW18" s="27">
        <v>23775</v>
      </c>
      <c r="CX18" s="27">
        <v>26052.76</v>
      </c>
      <c r="CY18" s="27">
        <v>27521</v>
      </c>
      <c r="CZ18" s="286">
        <v>25598.31</v>
      </c>
      <c r="DA18" s="26">
        <v>22183</v>
      </c>
      <c r="DB18" s="27">
        <v>25183</v>
      </c>
      <c r="DC18" s="27">
        <v>28183</v>
      </c>
      <c r="DD18" s="27">
        <v>30114</v>
      </c>
      <c r="DE18" s="286">
        <v>26632.99</v>
      </c>
      <c r="DF18" s="26">
        <v>20843</v>
      </c>
      <c r="DG18" s="27">
        <v>23343</v>
      </c>
      <c r="DH18" s="27">
        <v>25432</v>
      </c>
      <c r="DI18" s="28">
        <v>27521</v>
      </c>
      <c r="DJ18" s="26">
        <v>21713</v>
      </c>
      <c r="DK18" s="27">
        <v>24213</v>
      </c>
      <c r="DL18" s="27">
        <v>26302</v>
      </c>
      <c r="DM18" s="28">
        <v>28391</v>
      </c>
      <c r="DN18" s="42">
        <v>28555</v>
      </c>
      <c r="DO18" s="43">
        <v>30555</v>
      </c>
      <c r="DP18" s="43">
        <v>33080</v>
      </c>
      <c r="DQ18" s="43">
        <v>36080</v>
      </c>
      <c r="DR18" s="43">
        <v>39080</v>
      </c>
      <c r="DS18" s="43">
        <v>40180</v>
      </c>
      <c r="DT18" s="43">
        <v>43680</v>
      </c>
      <c r="DU18" s="43">
        <v>46680</v>
      </c>
      <c r="DV18" s="43">
        <v>48720</v>
      </c>
      <c r="DW18" s="43">
        <v>51720</v>
      </c>
      <c r="DX18" s="43">
        <v>54720</v>
      </c>
      <c r="DY18" s="43">
        <v>56510</v>
      </c>
      <c r="DZ18" s="43">
        <v>59510</v>
      </c>
      <c r="EA18" s="44">
        <v>62510</v>
      </c>
    </row>
    <row r="19" spans="1:131">
      <c r="A19" s="19">
        <v>16</v>
      </c>
      <c r="B19" s="20">
        <v>19065.63</v>
      </c>
      <c r="C19" s="21">
        <v>19864.810000000001</v>
      </c>
      <c r="D19" s="21">
        <v>21590.17</v>
      </c>
      <c r="E19" s="22">
        <v>22590.17</v>
      </c>
      <c r="F19" s="20">
        <v>19567.060000000001</v>
      </c>
      <c r="G19" s="21">
        <v>20839.91</v>
      </c>
      <c r="H19" s="21">
        <v>22282.75</v>
      </c>
      <c r="I19" s="22">
        <v>23782.75</v>
      </c>
      <c r="J19" s="59">
        <v>19841.29</v>
      </c>
      <c r="K19" s="53">
        <v>20482.75</v>
      </c>
      <c r="L19" s="53">
        <v>22826.65</v>
      </c>
      <c r="M19" s="53">
        <v>24056.73</v>
      </c>
      <c r="N19" s="53">
        <v>24377.56</v>
      </c>
      <c r="O19" s="60">
        <v>25255.22</v>
      </c>
      <c r="P19" s="79">
        <v>17725.05</v>
      </c>
      <c r="Q19" s="79">
        <v>23740.23</v>
      </c>
      <c r="R19" s="79">
        <v>24079.23</v>
      </c>
      <c r="S19" s="79">
        <v>24565.8</v>
      </c>
      <c r="T19" s="79">
        <v>17730.740000000002</v>
      </c>
      <c r="U19" s="79">
        <v>24045.7</v>
      </c>
      <c r="V19" s="79">
        <v>19448.82</v>
      </c>
      <c r="W19" s="79">
        <v>22269.62</v>
      </c>
      <c r="X19" s="20">
        <v>21624.880000000001</v>
      </c>
      <c r="Y19" s="21">
        <v>23000.639999999999</v>
      </c>
      <c r="Z19" s="21">
        <v>23481.51</v>
      </c>
      <c r="AA19" s="21">
        <v>24862</v>
      </c>
      <c r="AB19" s="22">
        <v>26562</v>
      </c>
      <c r="AC19" s="289">
        <v>23318</v>
      </c>
      <c r="AD19" s="290">
        <v>25818</v>
      </c>
      <c r="AE19" s="290">
        <v>27818</v>
      </c>
      <c r="AF19" s="290">
        <v>29818</v>
      </c>
      <c r="AG19" s="291">
        <v>31818</v>
      </c>
      <c r="AH19" s="20">
        <v>26176.21</v>
      </c>
      <c r="AI19" s="21">
        <v>28350.14</v>
      </c>
      <c r="AJ19" s="21">
        <v>29004.62</v>
      </c>
      <c r="AK19" s="21">
        <v>30003.66</v>
      </c>
      <c r="AL19" s="21">
        <v>31610</v>
      </c>
      <c r="AM19" s="21">
        <v>29449.85</v>
      </c>
      <c r="AN19" s="22">
        <v>31594.06</v>
      </c>
      <c r="AO19" s="20">
        <v>28442.05</v>
      </c>
      <c r="AP19" s="21">
        <v>30811.7</v>
      </c>
      <c r="AQ19" s="21">
        <v>31524.99</v>
      </c>
      <c r="AR19" s="21">
        <v>32614.01</v>
      </c>
      <c r="AS19" s="21">
        <v>33614.009999999995</v>
      </c>
      <c r="AT19" s="22">
        <v>32548.52</v>
      </c>
      <c r="AU19" s="20">
        <v>28493.99</v>
      </c>
      <c r="AV19" s="21">
        <v>33548.520000000004</v>
      </c>
      <c r="AW19" s="21">
        <v>37291.660000000003</v>
      </c>
      <c r="AX19" s="21">
        <v>41158.81</v>
      </c>
      <c r="AY19" s="21">
        <v>44125.120000000003</v>
      </c>
      <c r="AZ19" s="21">
        <v>47257</v>
      </c>
      <c r="BA19" s="21">
        <v>49463.29</v>
      </c>
      <c r="BB19" s="21">
        <v>50330.89</v>
      </c>
      <c r="BC19" s="22">
        <v>55288.7</v>
      </c>
      <c r="BD19" s="20">
        <v>36454.28</v>
      </c>
      <c r="BE19" s="21">
        <v>40646.660000000003</v>
      </c>
      <c r="BF19" s="21">
        <v>42568.34</v>
      </c>
      <c r="BG19" s="21">
        <v>46772.69</v>
      </c>
      <c r="BH19" s="21">
        <v>49032.41</v>
      </c>
      <c r="BI19" s="22">
        <v>49432.58</v>
      </c>
      <c r="BJ19" s="75">
        <v>73185.81</v>
      </c>
      <c r="BK19" s="22">
        <v>65508.800000000003</v>
      </c>
      <c r="BL19" s="20">
        <v>13382</v>
      </c>
      <c r="BM19" s="21">
        <v>14182</v>
      </c>
      <c r="BN19" s="21">
        <v>15180.38</v>
      </c>
      <c r="BO19" s="22">
        <v>16180.38</v>
      </c>
      <c r="BP19" s="20">
        <v>14900</v>
      </c>
      <c r="BQ19" s="21">
        <v>16000</v>
      </c>
      <c r="BR19" s="21">
        <v>17000</v>
      </c>
      <c r="BS19" s="21">
        <v>18000</v>
      </c>
      <c r="BT19" s="284">
        <v>17007.73</v>
      </c>
      <c r="BU19" s="20">
        <v>15066.51</v>
      </c>
      <c r="BV19" s="21">
        <v>16071.85</v>
      </c>
      <c r="BW19" s="21">
        <v>17676.669999999998</v>
      </c>
      <c r="BX19" s="22">
        <v>20899.88</v>
      </c>
      <c r="BY19" s="20">
        <v>15066.51</v>
      </c>
      <c r="BZ19" s="21">
        <v>16000</v>
      </c>
      <c r="CA19" s="21">
        <v>17676.669999999998</v>
      </c>
      <c r="CB19" s="22">
        <v>20899.88</v>
      </c>
      <c r="CC19" s="20">
        <v>18282.75</v>
      </c>
      <c r="CD19" s="21">
        <v>19782.75</v>
      </c>
      <c r="CE19" s="21">
        <v>21282.75</v>
      </c>
      <c r="CF19" s="21">
        <v>22870</v>
      </c>
      <c r="CG19" s="284">
        <v>20092.11</v>
      </c>
      <c r="CH19" s="20">
        <v>18567.060000000001</v>
      </c>
      <c r="CI19" s="21">
        <v>20267.060000000001</v>
      </c>
      <c r="CJ19" s="21">
        <v>21567.06</v>
      </c>
      <c r="CK19" s="21">
        <v>23067.06</v>
      </c>
      <c r="CL19" s="284">
        <v>22177.56</v>
      </c>
      <c r="CM19" s="20">
        <v>19839.91</v>
      </c>
      <c r="CN19" s="21">
        <v>20092.11</v>
      </c>
      <c r="CO19" s="21">
        <v>22177.56</v>
      </c>
      <c r="CP19" s="22">
        <v>23055.22</v>
      </c>
      <c r="CQ19" s="26">
        <v>20843</v>
      </c>
      <c r="CR19" s="27">
        <v>23343</v>
      </c>
      <c r="CS19" s="27">
        <v>25432</v>
      </c>
      <c r="CT19" s="27">
        <v>27521</v>
      </c>
      <c r="CU19" s="284">
        <v>22582.31</v>
      </c>
      <c r="CV19" s="26">
        <v>20843</v>
      </c>
      <c r="CW19" s="27">
        <v>23775</v>
      </c>
      <c r="CX19" s="27">
        <v>26052.76</v>
      </c>
      <c r="CY19" s="27">
        <v>27521</v>
      </c>
      <c r="CZ19" s="286">
        <v>25598.31</v>
      </c>
      <c r="DA19" s="26">
        <v>22183</v>
      </c>
      <c r="DB19" s="27">
        <v>25183</v>
      </c>
      <c r="DC19" s="27">
        <v>28183</v>
      </c>
      <c r="DD19" s="27">
        <v>30114</v>
      </c>
      <c r="DE19" s="286">
        <v>26632.99</v>
      </c>
      <c r="DF19" s="26">
        <v>20843</v>
      </c>
      <c r="DG19" s="27">
        <v>23343</v>
      </c>
      <c r="DH19" s="27">
        <v>25432</v>
      </c>
      <c r="DI19" s="28">
        <v>27521</v>
      </c>
      <c r="DJ19" s="26">
        <v>21713</v>
      </c>
      <c r="DK19" s="27">
        <v>24213</v>
      </c>
      <c r="DL19" s="27">
        <v>26302</v>
      </c>
      <c r="DM19" s="28">
        <v>28391</v>
      </c>
      <c r="DN19" s="39">
        <v>29000</v>
      </c>
      <c r="DO19" s="40">
        <v>31000</v>
      </c>
      <c r="DP19" s="40">
        <v>33560</v>
      </c>
      <c r="DQ19" s="40">
        <v>36560</v>
      </c>
      <c r="DR19" s="40">
        <v>39560</v>
      </c>
      <c r="DS19" s="40">
        <v>40700</v>
      </c>
      <c r="DT19" s="40">
        <v>44200</v>
      </c>
      <c r="DU19" s="40">
        <v>47200</v>
      </c>
      <c r="DV19" s="40">
        <v>49330</v>
      </c>
      <c r="DW19" s="40">
        <v>52330</v>
      </c>
      <c r="DX19" s="40">
        <v>55330</v>
      </c>
      <c r="DY19" s="40">
        <v>57120</v>
      </c>
      <c r="DZ19" s="40">
        <v>60120</v>
      </c>
      <c r="EA19" s="41">
        <v>63120</v>
      </c>
    </row>
    <row r="20" spans="1:131">
      <c r="A20" s="19">
        <v>17</v>
      </c>
      <c r="B20" s="20">
        <v>19201.98</v>
      </c>
      <c r="C20" s="21">
        <v>20013.55</v>
      </c>
      <c r="D20" s="21">
        <v>21778.57</v>
      </c>
      <c r="E20" s="22">
        <v>22778.57</v>
      </c>
      <c r="F20" s="20">
        <v>20190.669999999998</v>
      </c>
      <c r="G20" s="21">
        <v>21375.040000000001</v>
      </c>
      <c r="H20" s="21">
        <v>22906.36</v>
      </c>
      <c r="I20" s="22">
        <v>24406.36</v>
      </c>
      <c r="J20" s="59">
        <v>20464.900000000001</v>
      </c>
      <c r="K20" s="53">
        <v>21106.36</v>
      </c>
      <c r="L20" s="53">
        <v>23450.26</v>
      </c>
      <c r="M20" s="53">
        <v>24680.34</v>
      </c>
      <c r="N20" s="53">
        <v>25001.17</v>
      </c>
      <c r="O20" s="60">
        <v>25878.83</v>
      </c>
      <c r="P20" s="79">
        <v>17725.05</v>
      </c>
      <c r="Q20" s="79">
        <v>23740.23</v>
      </c>
      <c r="R20" s="79">
        <v>24079.23</v>
      </c>
      <c r="S20" s="79">
        <v>24565.8</v>
      </c>
      <c r="T20" s="79">
        <v>17730.740000000002</v>
      </c>
      <c r="U20" s="79">
        <v>24045.7</v>
      </c>
      <c r="V20" s="79">
        <v>19448.82</v>
      </c>
      <c r="W20" s="79">
        <v>22269.62</v>
      </c>
      <c r="X20" s="20">
        <v>21823.200000000001</v>
      </c>
      <c r="Y20" s="21">
        <v>23248.54</v>
      </c>
      <c r="Z20" s="21">
        <v>23712.06</v>
      </c>
      <c r="AA20" s="21">
        <v>25062</v>
      </c>
      <c r="AB20" s="22">
        <v>26762</v>
      </c>
      <c r="AC20" s="289">
        <v>23588</v>
      </c>
      <c r="AD20" s="290">
        <v>26088</v>
      </c>
      <c r="AE20" s="290">
        <v>28088</v>
      </c>
      <c r="AF20" s="290">
        <v>30088</v>
      </c>
      <c r="AG20" s="291">
        <v>32088</v>
      </c>
      <c r="AH20" s="20">
        <v>26463.77</v>
      </c>
      <c r="AI20" s="21">
        <v>28655.05</v>
      </c>
      <c r="AJ20" s="21">
        <v>29326.89</v>
      </c>
      <c r="AK20" s="21">
        <v>30350.720000000001</v>
      </c>
      <c r="AL20" s="21">
        <v>31880</v>
      </c>
      <c r="AM20" s="21">
        <v>29796.91</v>
      </c>
      <c r="AN20" s="22">
        <v>31916.33</v>
      </c>
      <c r="AO20" s="20">
        <v>28755.49</v>
      </c>
      <c r="AP20" s="21">
        <v>31144.06</v>
      </c>
      <c r="AQ20" s="21">
        <v>31876.26</v>
      </c>
      <c r="AR20" s="21">
        <v>32992.300000000003</v>
      </c>
      <c r="AS20" s="21">
        <v>33992.300000000003</v>
      </c>
      <c r="AT20" s="22">
        <v>32870.79</v>
      </c>
      <c r="AU20" s="20">
        <v>28744.37</v>
      </c>
      <c r="AV20" s="21">
        <v>33870.79</v>
      </c>
      <c r="AW20" s="21">
        <v>37688.29</v>
      </c>
      <c r="AX20" s="21">
        <v>41580.230000000003</v>
      </c>
      <c r="AY20" s="21">
        <v>44571.33</v>
      </c>
      <c r="AZ20" s="21">
        <v>47492.5</v>
      </c>
      <c r="BA20" s="21">
        <v>49835.14</v>
      </c>
      <c r="BB20" s="21">
        <v>50330.89</v>
      </c>
      <c r="BC20" s="22">
        <v>55288.7</v>
      </c>
      <c r="BD20" s="20">
        <v>36815.22</v>
      </c>
      <c r="BE20" s="21">
        <v>41090.89</v>
      </c>
      <c r="BF20" s="21">
        <v>43015.05</v>
      </c>
      <c r="BG20" s="21">
        <v>47245.68</v>
      </c>
      <c r="BH20" s="21">
        <v>49282.04</v>
      </c>
      <c r="BI20" s="22">
        <v>49811.86</v>
      </c>
      <c r="BJ20" s="75">
        <v>73185.81</v>
      </c>
      <c r="BK20" s="22">
        <v>65508.800000000003</v>
      </c>
      <c r="BL20" s="20">
        <v>13409</v>
      </c>
      <c r="BM20" s="21">
        <v>14239.72</v>
      </c>
      <c r="BN20" s="21">
        <v>15239.72</v>
      </c>
      <c r="BO20" s="22">
        <v>16239.72</v>
      </c>
      <c r="BP20" s="20">
        <v>15021</v>
      </c>
      <c r="BQ20" s="21">
        <v>16121</v>
      </c>
      <c r="BR20" s="21">
        <v>17121</v>
      </c>
      <c r="BS20" s="21">
        <v>18121</v>
      </c>
      <c r="BT20" s="284">
        <v>17356.78</v>
      </c>
      <c r="BU20" s="20">
        <v>15415.56</v>
      </c>
      <c r="BV20" s="21">
        <v>16420.900000000001</v>
      </c>
      <c r="BW20" s="21">
        <v>18025.72</v>
      </c>
      <c r="BX20" s="22">
        <v>21252.91</v>
      </c>
      <c r="BY20" s="20">
        <v>15415.56</v>
      </c>
      <c r="BZ20" s="21">
        <v>16268.15</v>
      </c>
      <c r="CA20" s="21">
        <v>18025.72</v>
      </c>
      <c r="CB20" s="22">
        <v>21252.91</v>
      </c>
      <c r="CC20" s="20">
        <v>18906.36</v>
      </c>
      <c r="CD20" s="21">
        <v>20406.36</v>
      </c>
      <c r="CE20" s="21">
        <v>21906.36</v>
      </c>
      <c r="CF20" s="21">
        <v>23406.36</v>
      </c>
      <c r="CG20" s="284">
        <v>20715.72</v>
      </c>
      <c r="CH20" s="20">
        <v>19190.669999999998</v>
      </c>
      <c r="CI20" s="21">
        <v>20690.669999999998</v>
      </c>
      <c r="CJ20" s="21">
        <v>22190.67</v>
      </c>
      <c r="CK20" s="21">
        <v>23690.67</v>
      </c>
      <c r="CL20" s="284">
        <v>22801.17</v>
      </c>
      <c r="CM20" s="20">
        <v>20375.04</v>
      </c>
      <c r="CN20" s="21">
        <v>20715.72</v>
      </c>
      <c r="CO20" s="21">
        <v>22801.17</v>
      </c>
      <c r="CP20" s="22">
        <v>23678.83</v>
      </c>
      <c r="CQ20" s="26">
        <v>21468</v>
      </c>
      <c r="CR20" s="27">
        <v>23968</v>
      </c>
      <c r="CS20" s="27">
        <v>26141</v>
      </c>
      <c r="CT20" s="27">
        <v>28314</v>
      </c>
      <c r="CU20" s="284">
        <v>23206.58</v>
      </c>
      <c r="CV20" s="26">
        <v>21468</v>
      </c>
      <c r="CW20" s="27">
        <v>24147</v>
      </c>
      <c r="CX20" s="27">
        <v>26677.03</v>
      </c>
      <c r="CY20" s="27">
        <v>28314</v>
      </c>
      <c r="CZ20" s="286">
        <v>26222.58</v>
      </c>
      <c r="DA20" s="26">
        <v>22808</v>
      </c>
      <c r="DB20" s="27">
        <v>25808</v>
      </c>
      <c r="DC20" s="27">
        <v>28808</v>
      </c>
      <c r="DD20" s="27">
        <v>30858</v>
      </c>
      <c r="DE20" s="286">
        <v>27312.33</v>
      </c>
      <c r="DF20" s="26">
        <v>21468</v>
      </c>
      <c r="DG20" s="27">
        <v>23968</v>
      </c>
      <c r="DH20" s="27">
        <v>26141</v>
      </c>
      <c r="DI20" s="28">
        <v>28314</v>
      </c>
      <c r="DJ20" s="26">
        <v>22338</v>
      </c>
      <c r="DK20" s="27">
        <v>24838</v>
      </c>
      <c r="DL20" s="27">
        <v>27011</v>
      </c>
      <c r="DM20" s="28">
        <v>29184</v>
      </c>
      <c r="DN20" s="42">
        <v>29445</v>
      </c>
      <c r="DO20" s="43">
        <v>31445</v>
      </c>
      <c r="DP20" s="43">
        <v>34040</v>
      </c>
      <c r="DQ20" s="43">
        <v>37040</v>
      </c>
      <c r="DR20" s="43">
        <v>40040</v>
      </c>
      <c r="DS20" s="43">
        <v>41220</v>
      </c>
      <c r="DT20" s="43">
        <v>44720</v>
      </c>
      <c r="DU20" s="43">
        <v>47720</v>
      </c>
      <c r="DV20" s="43">
        <v>49940</v>
      </c>
      <c r="DW20" s="43">
        <v>52940</v>
      </c>
      <c r="DX20" s="43">
        <v>55940</v>
      </c>
      <c r="DY20" s="43">
        <v>57730</v>
      </c>
      <c r="DZ20" s="43">
        <v>60730</v>
      </c>
      <c r="EA20" s="44">
        <v>63730</v>
      </c>
    </row>
    <row r="21" spans="1:131">
      <c r="A21" s="19">
        <v>18</v>
      </c>
      <c r="B21" s="20">
        <v>19338.330000000002</v>
      </c>
      <c r="C21" s="21">
        <v>20162.29</v>
      </c>
      <c r="D21" s="21">
        <v>21966.97</v>
      </c>
      <c r="E21" s="22">
        <v>22966.97</v>
      </c>
      <c r="F21" s="20">
        <v>20190.669999999998</v>
      </c>
      <c r="G21" s="21">
        <v>21375.040000000001</v>
      </c>
      <c r="H21" s="21">
        <v>22906.36</v>
      </c>
      <c r="I21" s="22">
        <v>24406.36</v>
      </c>
      <c r="J21" s="59">
        <v>20464.900000000001</v>
      </c>
      <c r="K21" s="53">
        <v>21106.36</v>
      </c>
      <c r="L21" s="53">
        <v>23450.26</v>
      </c>
      <c r="M21" s="53">
        <v>24680.34</v>
      </c>
      <c r="N21" s="53">
        <v>25001.17</v>
      </c>
      <c r="O21" s="60">
        <v>25878.33</v>
      </c>
      <c r="P21" s="79">
        <v>17725.05</v>
      </c>
      <c r="Q21" s="79">
        <v>23740.23</v>
      </c>
      <c r="R21" s="79">
        <v>24079.23</v>
      </c>
      <c r="S21" s="79">
        <v>24565.8</v>
      </c>
      <c r="T21" s="79">
        <v>17730.740000000002</v>
      </c>
      <c r="U21" s="79">
        <v>24045.7</v>
      </c>
      <c r="V21" s="79">
        <v>19448.82</v>
      </c>
      <c r="W21" s="79">
        <v>22269.62</v>
      </c>
      <c r="X21" s="20">
        <v>22021.52</v>
      </c>
      <c r="Y21" s="21">
        <v>23496.44</v>
      </c>
      <c r="Z21" s="21">
        <v>23942.61</v>
      </c>
      <c r="AA21" s="21">
        <v>25262</v>
      </c>
      <c r="AB21" s="22">
        <v>26962</v>
      </c>
      <c r="AC21" s="289">
        <v>23858</v>
      </c>
      <c r="AD21" s="290">
        <v>26358</v>
      </c>
      <c r="AE21" s="290">
        <v>28358</v>
      </c>
      <c r="AF21" s="290">
        <v>30358</v>
      </c>
      <c r="AG21" s="291">
        <v>32358</v>
      </c>
      <c r="AH21" s="20">
        <v>26751.33</v>
      </c>
      <c r="AI21" s="21">
        <v>28959.96</v>
      </c>
      <c r="AJ21" s="21">
        <v>29649.16</v>
      </c>
      <c r="AK21" s="21">
        <v>30697.78</v>
      </c>
      <c r="AL21" s="21">
        <v>32150</v>
      </c>
      <c r="AM21" s="21">
        <v>30143.97</v>
      </c>
      <c r="AN21" s="22">
        <v>32238.6</v>
      </c>
      <c r="AO21" s="20">
        <v>29068.93</v>
      </c>
      <c r="AP21" s="21">
        <v>31476.42</v>
      </c>
      <c r="AQ21" s="21">
        <v>32227.53</v>
      </c>
      <c r="AR21" s="21">
        <v>33370.589999999997</v>
      </c>
      <c r="AS21" s="21">
        <v>34370.589999999997</v>
      </c>
      <c r="AT21" s="22">
        <v>33193.06</v>
      </c>
      <c r="AU21" s="20">
        <v>28994.75</v>
      </c>
      <c r="AV21" s="21">
        <v>34193.06</v>
      </c>
      <c r="AW21" s="21">
        <v>38084.92</v>
      </c>
      <c r="AX21" s="21">
        <v>42001.65</v>
      </c>
      <c r="AY21" s="21">
        <v>45017.54</v>
      </c>
      <c r="AZ21" s="21">
        <v>47728</v>
      </c>
      <c r="BA21" s="21">
        <v>50206.99</v>
      </c>
      <c r="BB21" s="21">
        <v>51818.26</v>
      </c>
      <c r="BC21" s="22">
        <v>56900.01</v>
      </c>
      <c r="BD21" s="20">
        <v>37176.160000000003</v>
      </c>
      <c r="BE21" s="21">
        <v>41535.120000000003</v>
      </c>
      <c r="BF21" s="21">
        <v>43461.760000000002</v>
      </c>
      <c r="BG21" s="21">
        <v>47718.67</v>
      </c>
      <c r="BH21" s="21">
        <v>49531.67</v>
      </c>
      <c r="BI21" s="22">
        <v>50191.14</v>
      </c>
      <c r="BJ21" s="75">
        <v>73185.81</v>
      </c>
      <c r="BK21" s="22">
        <v>65508.800000000003</v>
      </c>
      <c r="BL21" s="20">
        <v>13436</v>
      </c>
      <c r="BM21" s="21">
        <v>14239.72</v>
      </c>
      <c r="BN21" s="21">
        <v>15239.72</v>
      </c>
      <c r="BO21" s="22">
        <v>16239.72</v>
      </c>
      <c r="BP21" s="20">
        <v>15143</v>
      </c>
      <c r="BQ21" s="21">
        <v>16243</v>
      </c>
      <c r="BR21" s="21">
        <v>17243</v>
      </c>
      <c r="BS21" s="21">
        <v>18243</v>
      </c>
      <c r="BT21" s="284">
        <v>17356.78</v>
      </c>
      <c r="BU21" s="20">
        <v>15415.56</v>
      </c>
      <c r="BV21" s="21">
        <v>16420.900000000001</v>
      </c>
      <c r="BW21" s="21">
        <v>18025.72</v>
      </c>
      <c r="BX21" s="22">
        <v>21252.91</v>
      </c>
      <c r="BY21" s="20">
        <v>15415.56</v>
      </c>
      <c r="BZ21" s="21">
        <v>16268.15</v>
      </c>
      <c r="CA21" s="21">
        <v>18025.72</v>
      </c>
      <c r="CB21" s="22">
        <v>21252.91</v>
      </c>
      <c r="CC21" s="20">
        <v>18906.36</v>
      </c>
      <c r="CD21" s="21">
        <v>20406.36</v>
      </c>
      <c r="CE21" s="21">
        <v>21906.36</v>
      </c>
      <c r="CF21" s="21">
        <v>23406.36</v>
      </c>
      <c r="CG21" s="284">
        <v>20715.72</v>
      </c>
      <c r="CH21" s="20">
        <v>19190.669999999998</v>
      </c>
      <c r="CI21" s="21">
        <v>20690.669999999998</v>
      </c>
      <c r="CJ21" s="21">
        <v>22190.67</v>
      </c>
      <c r="CK21" s="21">
        <v>23690.67</v>
      </c>
      <c r="CL21" s="284">
        <v>22801.17</v>
      </c>
      <c r="CM21" s="20">
        <v>20375.04</v>
      </c>
      <c r="CN21" s="21">
        <v>20715.72</v>
      </c>
      <c r="CO21" s="21">
        <v>22801.17</v>
      </c>
      <c r="CP21" s="22">
        <v>23678.83</v>
      </c>
      <c r="CQ21" s="26">
        <v>21468</v>
      </c>
      <c r="CR21" s="27">
        <v>23968</v>
      </c>
      <c r="CS21" s="27">
        <v>26141</v>
      </c>
      <c r="CT21" s="27">
        <v>28314</v>
      </c>
      <c r="CU21" s="284">
        <v>23206.58</v>
      </c>
      <c r="CV21" s="26">
        <v>21468</v>
      </c>
      <c r="CW21" s="27">
        <v>24147</v>
      </c>
      <c r="CX21" s="27">
        <v>26677.03</v>
      </c>
      <c r="CY21" s="27">
        <v>28314</v>
      </c>
      <c r="CZ21" s="286">
        <v>26222.58</v>
      </c>
      <c r="DA21" s="26">
        <v>22808</v>
      </c>
      <c r="DB21" s="27">
        <v>25808</v>
      </c>
      <c r="DC21" s="27">
        <v>28808</v>
      </c>
      <c r="DD21" s="27">
        <v>30858</v>
      </c>
      <c r="DE21" s="286">
        <v>27312.33</v>
      </c>
      <c r="DF21" s="26">
        <v>21468</v>
      </c>
      <c r="DG21" s="27">
        <v>23968</v>
      </c>
      <c r="DH21" s="27">
        <v>26141</v>
      </c>
      <c r="DI21" s="28">
        <v>28314</v>
      </c>
      <c r="DJ21" s="26">
        <v>22338</v>
      </c>
      <c r="DK21" s="27">
        <v>24838</v>
      </c>
      <c r="DL21" s="27">
        <v>27011</v>
      </c>
      <c r="DM21" s="28">
        <v>29184</v>
      </c>
      <c r="DN21" s="39">
        <v>29890</v>
      </c>
      <c r="DO21" s="40">
        <v>31890</v>
      </c>
      <c r="DP21" s="40">
        <v>34520</v>
      </c>
      <c r="DQ21" s="40">
        <v>37520</v>
      </c>
      <c r="DR21" s="40">
        <v>40520</v>
      </c>
      <c r="DS21" s="40">
        <v>41740</v>
      </c>
      <c r="DT21" s="40">
        <v>45240</v>
      </c>
      <c r="DU21" s="40">
        <v>48240</v>
      </c>
      <c r="DV21" s="40">
        <v>50550</v>
      </c>
      <c r="DW21" s="40">
        <v>53550</v>
      </c>
      <c r="DX21" s="40">
        <v>56550</v>
      </c>
      <c r="DY21" s="40">
        <v>58340</v>
      </c>
      <c r="DZ21" s="40">
        <v>61340</v>
      </c>
      <c r="EA21" s="41">
        <v>64340</v>
      </c>
    </row>
    <row r="22" spans="1:131">
      <c r="A22" s="19">
        <v>19</v>
      </c>
      <c r="B22" s="20">
        <v>19474.68</v>
      </c>
      <c r="C22" s="21">
        <v>20311.03</v>
      </c>
      <c r="D22" s="21">
        <v>22155.37</v>
      </c>
      <c r="E22" s="22">
        <v>23155.37</v>
      </c>
      <c r="F22" s="20">
        <v>20814.28</v>
      </c>
      <c r="G22" s="21">
        <v>21910.17</v>
      </c>
      <c r="H22" s="21">
        <v>23529.97</v>
      </c>
      <c r="I22" s="22">
        <v>25029.97</v>
      </c>
      <c r="J22" s="59">
        <v>21088.51</v>
      </c>
      <c r="K22" s="53">
        <v>21729.97</v>
      </c>
      <c r="L22" s="53">
        <v>24073.87</v>
      </c>
      <c r="M22" s="53">
        <v>25303.95</v>
      </c>
      <c r="N22" s="53">
        <v>25624.78</v>
      </c>
      <c r="O22" s="60">
        <v>26502.44</v>
      </c>
      <c r="P22" s="79">
        <v>17725.05</v>
      </c>
      <c r="Q22" s="79">
        <v>23740.23</v>
      </c>
      <c r="R22" s="79">
        <v>24079.23</v>
      </c>
      <c r="S22" s="79">
        <v>24565.8</v>
      </c>
      <c r="T22" s="79">
        <v>17730.740000000002</v>
      </c>
      <c r="U22" s="79">
        <v>24045.7</v>
      </c>
      <c r="V22" s="79">
        <v>19448.82</v>
      </c>
      <c r="W22" s="79">
        <v>22269.62</v>
      </c>
      <c r="X22" s="20">
        <v>22219.84</v>
      </c>
      <c r="Y22" s="21">
        <v>23744.34</v>
      </c>
      <c r="Z22" s="21">
        <v>24173.16</v>
      </c>
      <c r="AA22" s="21">
        <v>25461</v>
      </c>
      <c r="AB22" s="22">
        <v>27161</v>
      </c>
      <c r="AC22" s="289">
        <v>24127</v>
      </c>
      <c r="AD22" s="290">
        <v>26627</v>
      </c>
      <c r="AE22" s="290">
        <v>28627</v>
      </c>
      <c r="AF22" s="290">
        <v>30627</v>
      </c>
      <c r="AG22" s="291">
        <v>32627</v>
      </c>
      <c r="AH22" s="20">
        <v>27038.89</v>
      </c>
      <c r="AI22" s="21">
        <v>29264.87</v>
      </c>
      <c r="AJ22" s="21">
        <v>29971.43</v>
      </c>
      <c r="AK22" s="21">
        <v>31044.84</v>
      </c>
      <c r="AL22" s="21">
        <v>32419</v>
      </c>
      <c r="AM22" s="21">
        <v>30491.03</v>
      </c>
      <c r="AN22" s="22">
        <v>32560.87</v>
      </c>
      <c r="AO22" s="20">
        <v>29382.37</v>
      </c>
      <c r="AP22" s="21">
        <v>31808.78</v>
      </c>
      <c r="AQ22" s="21">
        <v>32578.799999999999</v>
      </c>
      <c r="AR22" s="21">
        <v>33748.880000000005</v>
      </c>
      <c r="AS22" s="21">
        <v>34748.880000000005</v>
      </c>
      <c r="AT22" s="22">
        <v>33515.33</v>
      </c>
      <c r="AU22" s="20">
        <v>29245.13</v>
      </c>
      <c r="AV22" s="21">
        <v>34515.33</v>
      </c>
      <c r="AW22" s="21">
        <v>38481.550000000003</v>
      </c>
      <c r="AX22" s="21">
        <v>42423.07</v>
      </c>
      <c r="AY22" s="21">
        <v>45463.75</v>
      </c>
      <c r="AZ22" s="21">
        <v>47963.5</v>
      </c>
      <c r="BA22" s="21">
        <v>50578.84</v>
      </c>
      <c r="BB22" s="21">
        <v>51818.26</v>
      </c>
      <c r="BC22" s="22">
        <v>56900.01</v>
      </c>
      <c r="BD22" s="20">
        <v>37537.1</v>
      </c>
      <c r="BE22" s="21">
        <v>41979.35</v>
      </c>
      <c r="BF22" s="21">
        <v>43908.47</v>
      </c>
      <c r="BG22" s="21">
        <v>48191.66</v>
      </c>
      <c r="BH22" s="21">
        <v>49781.3</v>
      </c>
      <c r="BI22" s="22">
        <v>50570.42</v>
      </c>
      <c r="BJ22" s="75">
        <v>73185.81</v>
      </c>
      <c r="BK22" s="22">
        <v>65508.800000000003</v>
      </c>
      <c r="BL22" s="20">
        <v>13463</v>
      </c>
      <c r="BM22" s="21">
        <v>14299.06</v>
      </c>
      <c r="BN22" s="21">
        <v>15299.06</v>
      </c>
      <c r="BO22" s="22">
        <v>16299.06</v>
      </c>
      <c r="BP22" s="20">
        <v>15265</v>
      </c>
      <c r="BQ22" s="21">
        <v>16365</v>
      </c>
      <c r="BR22" s="21">
        <v>17410.88</v>
      </c>
      <c r="BS22" s="21">
        <v>18410.88</v>
      </c>
      <c r="BT22" s="284">
        <v>17705.830000000002</v>
      </c>
      <c r="BU22" s="20">
        <v>15764.61</v>
      </c>
      <c r="BV22" s="21">
        <v>16769.95</v>
      </c>
      <c r="BW22" s="21">
        <v>18374.77</v>
      </c>
      <c r="BX22" s="22">
        <v>21605.94</v>
      </c>
      <c r="BY22" s="20">
        <v>15764.61</v>
      </c>
      <c r="BZ22" s="21">
        <v>16617.2</v>
      </c>
      <c r="CA22" s="21">
        <v>18374.77</v>
      </c>
      <c r="CB22" s="22">
        <v>21605.94</v>
      </c>
      <c r="CC22" s="20">
        <v>19529.97</v>
      </c>
      <c r="CD22" s="21">
        <v>21029.97</v>
      </c>
      <c r="CE22" s="21">
        <v>22529.97</v>
      </c>
      <c r="CF22" s="21">
        <v>24029.97</v>
      </c>
      <c r="CG22" s="284">
        <v>21339.33</v>
      </c>
      <c r="CH22" s="20">
        <v>19814.28</v>
      </c>
      <c r="CI22" s="21">
        <v>21314.28</v>
      </c>
      <c r="CJ22" s="21">
        <v>22814.28</v>
      </c>
      <c r="CK22" s="21">
        <v>24314.28</v>
      </c>
      <c r="CL22" s="284">
        <v>23424.78</v>
      </c>
      <c r="CM22" s="20">
        <v>20910.169999999998</v>
      </c>
      <c r="CN22" s="21">
        <v>21339.33</v>
      </c>
      <c r="CO22" s="21">
        <v>23424.78</v>
      </c>
      <c r="CP22" s="22">
        <v>24302.44</v>
      </c>
      <c r="CQ22" s="26">
        <v>22093</v>
      </c>
      <c r="CR22" s="27">
        <v>24593</v>
      </c>
      <c r="CS22" s="27">
        <v>26992</v>
      </c>
      <c r="CT22" s="27">
        <v>29232</v>
      </c>
      <c r="CU22" s="284">
        <v>23830.85</v>
      </c>
      <c r="CV22" s="26">
        <v>22093</v>
      </c>
      <c r="CW22" s="27">
        <v>24593</v>
      </c>
      <c r="CX22" s="27">
        <v>27301.3</v>
      </c>
      <c r="CY22" s="27">
        <v>29232</v>
      </c>
      <c r="CZ22" s="286">
        <v>26846.85</v>
      </c>
      <c r="DA22" s="26">
        <v>23433</v>
      </c>
      <c r="DB22" s="27">
        <v>26433</v>
      </c>
      <c r="DC22" s="27">
        <v>29433</v>
      </c>
      <c r="DD22" s="27">
        <v>31602</v>
      </c>
      <c r="DE22" s="286">
        <v>27991.67</v>
      </c>
      <c r="DF22" s="26">
        <v>22093</v>
      </c>
      <c r="DG22" s="27">
        <v>24593</v>
      </c>
      <c r="DH22" s="27">
        <v>26992</v>
      </c>
      <c r="DI22" s="28">
        <v>29232</v>
      </c>
      <c r="DJ22" s="26">
        <v>22963</v>
      </c>
      <c r="DK22" s="27">
        <v>25463</v>
      </c>
      <c r="DL22" s="27">
        <v>27862</v>
      </c>
      <c r="DM22" s="28">
        <v>30102</v>
      </c>
      <c r="DN22" s="42">
        <v>30335</v>
      </c>
      <c r="DO22" s="43">
        <v>32335</v>
      </c>
      <c r="DP22" s="43">
        <v>35000</v>
      </c>
      <c r="DQ22" s="43">
        <v>38000</v>
      </c>
      <c r="DR22" s="43">
        <v>41000</v>
      </c>
      <c r="DS22" s="43">
        <v>42260</v>
      </c>
      <c r="DT22" s="43">
        <v>45760</v>
      </c>
      <c r="DU22" s="43">
        <v>48760</v>
      </c>
      <c r="DV22" s="43">
        <v>51160</v>
      </c>
      <c r="DW22" s="43">
        <v>54160</v>
      </c>
      <c r="DX22" s="43">
        <v>57160</v>
      </c>
      <c r="DY22" s="43">
        <v>58950</v>
      </c>
      <c r="DZ22" s="43">
        <v>61950</v>
      </c>
      <c r="EA22" s="44">
        <v>64950</v>
      </c>
    </row>
    <row r="23" spans="1:131">
      <c r="A23" s="19">
        <v>20</v>
      </c>
      <c r="B23" s="20">
        <v>19517.573</v>
      </c>
      <c r="C23" s="21">
        <v>20459.77</v>
      </c>
      <c r="D23" s="21">
        <v>22343.77</v>
      </c>
      <c r="E23" s="22">
        <v>23343.77</v>
      </c>
      <c r="F23" s="20">
        <v>20814.28</v>
      </c>
      <c r="G23" s="21">
        <v>21910.17</v>
      </c>
      <c r="H23" s="21">
        <v>23529.97</v>
      </c>
      <c r="I23" s="22">
        <v>25029.97</v>
      </c>
      <c r="J23" s="59">
        <v>21088.51</v>
      </c>
      <c r="K23" s="53">
        <v>21729.97</v>
      </c>
      <c r="L23" s="53">
        <v>24073.87</v>
      </c>
      <c r="M23" s="53">
        <v>25303.95</v>
      </c>
      <c r="N23" s="53">
        <v>25624.78</v>
      </c>
      <c r="O23" s="60">
        <v>26502.44</v>
      </c>
      <c r="P23" s="79">
        <v>17725.05</v>
      </c>
      <c r="Q23" s="79">
        <v>23740.23</v>
      </c>
      <c r="R23" s="79">
        <v>24079.23</v>
      </c>
      <c r="S23" s="79">
        <v>24565.8</v>
      </c>
      <c r="T23" s="79">
        <v>17730.740000000002</v>
      </c>
      <c r="U23" s="79">
        <v>24045.7</v>
      </c>
      <c r="V23" s="79">
        <v>19448.82</v>
      </c>
      <c r="W23" s="79">
        <v>22269.62</v>
      </c>
      <c r="X23" s="20">
        <v>22418.16</v>
      </c>
      <c r="Y23" s="21">
        <v>23992.240000000002</v>
      </c>
      <c r="Z23" s="21">
        <v>24403.71</v>
      </c>
      <c r="AA23" s="21">
        <v>25661</v>
      </c>
      <c r="AB23" s="22">
        <v>27361</v>
      </c>
      <c r="AC23" s="289">
        <v>24397</v>
      </c>
      <c r="AD23" s="290">
        <v>26897</v>
      </c>
      <c r="AE23" s="290">
        <v>28897</v>
      </c>
      <c r="AF23" s="290">
        <v>30897</v>
      </c>
      <c r="AG23" s="291">
        <v>32897</v>
      </c>
      <c r="AH23" s="20">
        <v>27326.45</v>
      </c>
      <c r="AI23" s="21">
        <v>29569.78</v>
      </c>
      <c r="AJ23" s="21">
        <v>30293.7</v>
      </c>
      <c r="AK23" s="21">
        <v>31391.9</v>
      </c>
      <c r="AL23" s="21">
        <v>32689</v>
      </c>
      <c r="AM23" s="21">
        <v>30838.09</v>
      </c>
      <c r="AN23" s="22">
        <v>32883.14</v>
      </c>
      <c r="AO23" s="20">
        <v>29695.81</v>
      </c>
      <c r="AP23" s="21">
        <v>32141.14</v>
      </c>
      <c r="AQ23" s="21">
        <v>32930.07</v>
      </c>
      <c r="AR23" s="21">
        <v>34127.17</v>
      </c>
      <c r="AS23" s="21">
        <v>35127.17</v>
      </c>
      <c r="AT23" s="22">
        <v>33837.599999999999</v>
      </c>
      <c r="AU23" s="20">
        <v>29495.51</v>
      </c>
      <c r="AV23" s="21">
        <v>34837.599999999999</v>
      </c>
      <c r="AW23" s="21">
        <v>38878.18</v>
      </c>
      <c r="AX23" s="21">
        <v>42844.49</v>
      </c>
      <c r="AY23" s="21">
        <v>45909.96</v>
      </c>
      <c r="AZ23" s="21">
        <v>48199</v>
      </c>
      <c r="BA23" s="21">
        <v>50950.69</v>
      </c>
      <c r="BB23" s="21">
        <v>53305.63</v>
      </c>
      <c r="BC23" s="22">
        <v>58511.32</v>
      </c>
      <c r="BD23" s="20">
        <v>37898.04</v>
      </c>
      <c r="BE23" s="21">
        <v>42423.58</v>
      </c>
      <c r="BF23" s="21">
        <v>44355.18</v>
      </c>
      <c r="BG23" s="21">
        <v>48664.65</v>
      </c>
      <c r="BH23" s="21">
        <v>50030.93</v>
      </c>
      <c r="BI23" s="22">
        <v>50949.7</v>
      </c>
      <c r="BJ23" s="75">
        <v>73185.81</v>
      </c>
      <c r="BK23" s="22">
        <v>65508.800000000003</v>
      </c>
      <c r="BL23" s="20">
        <v>13490</v>
      </c>
      <c r="BM23" s="21">
        <v>14299.06</v>
      </c>
      <c r="BN23" s="21">
        <v>15299.06</v>
      </c>
      <c r="BO23" s="22">
        <v>16299.06</v>
      </c>
      <c r="BP23" s="20">
        <v>15386</v>
      </c>
      <c r="BQ23" s="21">
        <v>16486</v>
      </c>
      <c r="BR23" s="21">
        <v>17486</v>
      </c>
      <c r="BS23" s="21">
        <v>18486</v>
      </c>
      <c r="BT23" s="284">
        <v>17705.830000000002</v>
      </c>
      <c r="BU23" s="20">
        <v>15764.61</v>
      </c>
      <c r="BV23" s="21">
        <v>16769.95</v>
      </c>
      <c r="BW23" s="21">
        <v>18374.77</v>
      </c>
      <c r="BX23" s="22">
        <v>21605.94</v>
      </c>
      <c r="BY23" s="20">
        <v>15764.61</v>
      </c>
      <c r="BZ23" s="21">
        <v>16617.2</v>
      </c>
      <c r="CA23" s="21">
        <v>18374.77</v>
      </c>
      <c r="CB23" s="22">
        <v>21605.94</v>
      </c>
      <c r="CC23" s="20">
        <v>19529.97</v>
      </c>
      <c r="CD23" s="21">
        <v>21029.97</v>
      </c>
      <c r="CE23" s="21">
        <v>22529.97</v>
      </c>
      <c r="CF23" s="21">
        <v>24029.97</v>
      </c>
      <c r="CG23" s="284">
        <v>21339.33</v>
      </c>
      <c r="CH23" s="20">
        <v>19814.28</v>
      </c>
      <c r="CI23" s="21">
        <v>21314.28</v>
      </c>
      <c r="CJ23" s="21">
        <v>22814.28</v>
      </c>
      <c r="CK23" s="21">
        <v>24314.28</v>
      </c>
      <c r="CL23" s="284">
        <v>23424.78</v>
      </c>
      <c r="CM23" s="20">
        <v>20910.169999999998</v>
      </c>
      <c r="CN23" s="21">
        <v>21339.33</v>
      </c>
      <c r="CO23" s="21">
        <v>23424.78</v>
      </c>
      <c r="CP23" s="22">
        <v>24302.44</v>
      </c>
      <c r="CQ23" s="26">
        <v>22093</v>
      </c>
      <c r="CR23" s="27">
        <v>24593</v>
      </c>
      <c r="CS23" s="27">
        <v>26992</v>
      </c>
      <c r="CT23" s="27">
        <v>29232</v>
      </c>
      <c r="CU23" s="284">
        <v>23830.85</v>
      </c>
      <c r="CV23" s="26">
        <v>22093</v>
      </c>
      <c r="CW23" s="27">
        <v>24593</v>
      </c>
      <c r="CX23" s="27">
        <v>27301.3</v>
      </c>
      <c r="CY23" s="27">
        <v>29232</v>
      </c>
      <c r="CZ23" s="286">
        <v>26846.85</v>
      </c>
      <c r="DA23" s="26">
        <v>23433</v>
      </c>
      <c r="DB23" s="27">
        <v>26433</v>
      </c>
      <c r="DC23" s="27">
        <v>29433</v>
      </c>
      <c r="DD23" s="27">
        <v>31602</v>
      </c>
      <c r="DE23" s="286">
        <v>27991.67</v>
      </c>
      <c r="DF23" s="26">
        <v>22093</v>
      </c>
      <c r="DG23" s="27">
        <v>24593</v>
      </c>
      <c r="DH23" s="27">
        <v>26992</v>
      </c>
      <c r="DI23" s="28">
        <v>29232</v>
      </c>
      <c r="DJ23" s="26">
        <v>22963</v>
      </c>
      <c r="DK23" s="27">
        <v>25463</v>
      </c>
      <c r="DL23" s="27">
        <v>27862</v>
      </c>
      <c r="DM23" s="28">
        <v>30102</v>
      </c>
      <c r="DN23" s="39">
        <v>30780</v>
      </c>
      <c r="DO23" s="40">
        <v>32780</v>
      </c>
      <c r="DP23" s="40">
        <v>35480</v>
      </c>
      <c r="DQ23" s="40">
        <v>38480</v>
      </c>
      <c r="DR23" s="40">
        <v>41480</v>
      </c>
      <c r="DS23" s="40">
        <v>42780</v>
      </c>
      <c r="DT23" s="40">
        <v>46280</v>
      </c>
      <c r="DU23" s="40">
        <v>49280</v>
      </c>
      <c r="DV23" s="40">
        <v>51770</v>
      </c>
      <c r="DW23" s="40">
        <v>54770</v>
      </c>
      <c r="DX23" s="40">
        <v>57770</v>
      </c>
      <c r="DY23" s="40">
        <v>59560</v>
      </c>
      <c r="DZ23" s="40">
        <v>62560</v>
      </c>
      <c r="EA23" s="41">
        <v>65560</v>
      </c>
    </row>
    <row r="24" spans="1:131">
      <c r="A24" s="19">
        <v>21</v>
      </c>
      <c r="B24" s="20">
        <v>19567.38</v>
      </c>
      <c r="C24" s="21">
        <v>20608.509999999998</v>
      </c>
      <c r="D24" s="21">
        <v>22532.17</v>
      </c>
      <c r="E24" s="22">
        <v>23532.17</v>
      </c>
      <c r="F24" s="20">
        <v>21437.89</v>
      </c>
      <c r="G24" s="21">
        <v>22445.3</v>
      </c>
      <c r="H24" s="21">
        <v>24153.58</v>
      </c>
      <c r="I24" s="22">
        <v>25653.58</v>
      </c>
      <c r="J24" s="59">
        <v>21712.12</v>
      </c>
      <c r="K24" s="53">
        <v>22353.58</v>
      </c>
      <c r="L24" s="53">
        <v>24430.21</v>
      </c>
      <c r="M24" s="53">
        <v>25660.29</v>
      </c>
      <c r="N24" s="53">
        <v>26248.39</v>
      </c>
      <c r="O24" s="60">
        <v>27126.05</v>
      </c>
      <c r="P24" s="79">
        <v>17725.05</v>
      </c>
      <c r="Q24" s="79">
        <v>23740.23</v>
      </c>
      <c r="R24" s="79">
        <v>24079.23</v>
      </c>
      <c r="S24" s="79">
        <v>24565.8</v>
      </c>
      <c r="T24" s="79">
        <v>17730.740000000002</v>
      </c>
      <c r="U24" s="79">
        <v>24045.7</v>
      </c>
      <c r="V24" s="79">
        <v>19448.82</v>
      </c>
      <c r="W24" s="79">
        <v>22269.62</v>
      </c>
      <c r="X24" s="20">
        <v>22616.48</v>
      </c>
      <c r="Y24" s="21">
        <v>24153.38</v>
      </c>
      <c r="Z24" s="21">
        <v>24634.26</v>
      </c>
      <c r="AA24" s="21">
        <v>25861</v>
      </c>
      <c r="AB24" s="22">
        <v>27561</v>
      </c>
      <c r="AC24" s="289">
        <v>24667</v>
      </c>
      <c r="AD24" s="290">
        <v>27167</v>
      </c>
      <c r="AE24" s="290">
        <v>29167</v>
      </c>
      <c r="AF24" s="290">
        <v>31167</v>
      </c>
      <c r="AG24" s="291">
        <v>33167</v>
      </c>
      <c r="AH24" s="20">
        <v>27614.02</v>
      </c>
      <c r="AI24" s="21">
        <v>29874.69</v>
      </c>
      <c r="AJ24" s="21">
        <v>30615.97</v>
      </c>
      <c r="AK24" s="21">
        <v>31738.959999999999</v>
      </c>
      <c r="AL24" s="21">
        <v>32959</v>
      </c>
      <c r="AM24" s="21">
        <v>31185.15</v>
      </c>
      <c r="AN24" s="22">
        <v>33205.410000000003</v>
      </c>
      <c r="AO24" s="20">
        <v>30009.25</v>
      </c>
      <c r="AP24" s="21">
        <v>32473.5</v>
      </c>
      <c r="AQ24" s="21">
        <v>33281.339999999997</v>
      </c>
      <c r="AR24" s="21">
        <v>34505.46</v>
      </c>
      <c r="AS24" s="21">
        <v>35505.46</v>
      </c>
      <c r="AT24" s="22">
        <v>34159.870000000003</v>
      </c>
      <c r="AU24" s="20">
        <v>29745.89</v>
      </c>
      <c r="AV24" s="21">
        <v>35159.870000000003</v>
      </c>
      <c r="AW24" s="21">
        <v>39274.81</v>
      </c>
      <c r="AX24" s="21">
        <v>43265.91</v>
      </c>
      <c r="AY24" s="21">
        <v>46356.17</v>
      </c>
      <c r="AZ24" s="21">
        <v>48434.5</v>
      </c>
      <c r="BA24" s="21">
        <v>51322.54</v>
      </c>
      <c r="BB24" s="21">
        <v>53305.63</v>
      </c>
      <c r="BC24" s="22">
        <v>58511.32</v>
      </c>
      <c r="BD24" s="20">
        <v>38258.980000000003</v>
      </c>
      <c r="BE24" s="21">
        <v>42867.81</v>
      </c>
      <c r="BF24" s="21">
        <v>44801.89</v>
      </c>
      <c r="BG24" s="21">
        <v>49137.64</v>
      </c>
      <c r="BH24" s="21">
        <v>50280.56</v>
      </c>
      <c r="BI24" s="22">
        <v>51328.98</v>
      </c>
      <c r="BJ24" s="75">
        <v>73185.81</v>
      </c>
      <c r="BK24" s="22">
        <v>65508.800000000003</v>
      </c>
      <c r="BL24" s="20">
        <v>13517</v>
      </c>
      <c r="BM24" s="21">
        <v>14358.4</v>
      </c>
      <c r="BN24" s="21">
        <v>15358.4</v>
      </c>
      <c r="BO24" s="22">
        <v>16358.4</v>
      </c>
      <c r="BP24" s="20">
        <v>15564.32</v>
      </c>
      <c r="BQ24" s="21">
        <v>16702.61</v>
      </c>
      <c r="BR24" s="21">
        <v>17759.93</v>
      </c>
      <c r="BS24" s="21">
        <v>18759.93</v>
      </c>
      <c r="BT24" s="284">
        <v>18054.88</v>
      </c>
      <c r="BU24" s="20">
        <v>16113.66</v>
      </c>
      <c r="BV24" s="21">
        <v>17119</v>
      </c>
      <c r="BW24" s="21">
        <v>18723.82</v>
      </c>
      <c r="BX24" s="22">
        <v>21958.97</v>
      </c>
      <c r="BY24" s="20">
        <v>16113.66</v>
      </c>
      <c r="BZ24" s="21">
        <v>16966.25</v>
      </c>
      <c r="CA24" s="21">
        <v>18723.82</v>
      </c>
      <c r="CB24" s="22">
        <v>21958.97</v>
      </c>
      <c r="CC24" s="20">
        <v>20153.580000000002</v>
      </c>
      <c r="CD24" s="21">
        <v>21653.58</v>
      </c>
      <c r="CE24" s="21">
        <v>23153.58</v>
      </c>
      <c r="CF24" s="21">
        <v>24653.58</v>
      </c>
      <c r="CG24" s="284">
        <v>21962.94</v>
      </c>
      <c r="CH24" s="20">
        <v>20437.89</v>
      </c>
      <c r="CI24" s="21">
        <v>21937.89</v>
      </c>
      <c r="CJ24" s="21">
        <v>23437.89</v>
      </c>
      <c r="CK24" s="21">
        <v>24937.89</v>
      </c>
      <c r="CL24" s="284">
        <v>24048.39</v>
      </c>
      <c r="CM24" s="20">
        <v>21445.3</v>
      </c>
      <c r="CN24" s="21">
        <v>21962.94</v>
      </c>
      <c r="CO24" s="21">
        <v>24048.39</v>
      </c>
      <c r="CP24" s="22">
        <v>24926.05</v>
      </c>
      <c r="CQ24" s="26">
        <v>22718</v>
      </c>
      <c r="CR24" s="27">
        <v>25218</v>
      </c>
      <c r="CS24" s="27">
        <v>27910</v>
      </c>
      <c r="CT24" s="27">
        <v>30150</v>
      </c>
      <c r="CU24" s="284">
        <v>24455.119999999999</v>
      </c>
      <c r="CV24" s="26">
        <v>22718</v>
      </c>
      <c r="CW24" s="27">
        <v>25218</v>
      </c>
      <c r="CX24" s="27">
        <v>27925.57</v>
      </c>
      <c r="CY24" s="27">
        <v>30150</v>
      </c>
      <c r="CZ24" s="286">
        <v>27471.119999999999</v>
      </c>
      <c r="DA24" s="26">
        <v>24058</v>
      </c>
      <c r="DB24" s="27">
        <v>27058</v>
      </c>
      <c r="DC24" s="27">
        <v>30058</v>
      </c>
      <c r="DD24" s="27">
        <v>32346</v>
      </c>
      <c r="DE24" s="286">
        <v>28671.01</v>
      </c>
      <c r="DF24" s="26">
        <v>22718</v>
      </c>
      <c r="DG24" s="27">
        <v>25218</v>
      </c>
      <c r="DH24" s="27">
        <v>27910</v>
      </c>
      <c r="DI24" s="28">
        <v>30150</v>
      </c>
      <c r="DJ24" s="26">
        <v>23588</v>
      </c>
      <c r="DK24" s="27">
        <v>26088</v>
      </c>
      <c r="DL24" s="27">
        <v>28780</v>
      </c>
      <c r="DM24" s="28">
        <v>31020</v>
      </c>
      <c r="DN24" s="42">
        <v>31225</v>
      </c>
      <c r="DO24" s="43">
        <v>33225</v>
      </c>
      <c r="DP24" s="43">
        <v>35960</v>
      </c>
      <c r="DQ24" s="43">
        <v>38960</v>
      </c>
      <c r="DR24" s="43">
        <v>41960</v>
      </c>
      <c r="DS24" s="43">
        <v>43300</v>
      </c>
      <c r="DT24" s="43">
        <v>46800</v>
      </c>
      <c r="DU24" s="43">
        <v>49800</v>
      </c>
      <c r="DV24" s="43">
        <v>52380</v>
      </c>
      <c r="DW24" s="43">
        <v>55380</v>
      </c>
      <c r="DX24" s="43">
        <v>58380</v>
      </c>
      <c r="DY24" s="43">
        <v>60170</v>
      </c>
      <c r="DZ24" s="43">
        <v>63170</v>
      </c>
      <c r="EA24" s="44">
        <v>66170</v>
      </c>
    </row>
    <row r="25" spans="1:131">
      <c r="A25" s="19">
        <v>22</v>
      </c>
      <c r="B25" s="20">
        <v>19703.73</v>
      </c>
      <c r="C25" s="21">
        <v>20757.25</v>
      </c>
      <c r="D25" s="21">
        <v>22720.57</v>
      </c>
      <c r="E25" s="22">
        <v>23720.57</v>
      </c>
      <c r="F25" s="20">
        <v>21437.89</v>
      </c>
      <c r="G25" s="21">
        <v>22445.3</v>
      </c>
      <c r="H25" s="21">
        <v>24153.58</v>
      </c>
      <c r="I25" s="22">
        <v>25653.58</v>
      </c>
      <c r="J25" s="59">
        <v>21712.12</v>
      </c>
      <c r="K25" s="53">
        <v>22353.58</v>
      </c>
      <c r="L25" s="53">
        <v>24430.21</v>
      </c>
      <c r="M25" s="53">
        <v>25660.29</v>
      </c>
      <c r="N25" s="53">
        <v>26248.39</v>
      </c>
      <c r="O25" s="60">
        <v>27126.05</v>
      </c>
      <c r="P25" s="79">
        <v>17725.05</v>
      </c>
      <c r="Q25" s="79">
        <v>23740.23</v>
      </c>
      <c r="R25" s="79">
        <v>24079.23</v>
      </c>
      <c r="S25" s="79">
        <v>24565.8</v>
      </c>
      <c r="T25" s="79">
        <v>17730.740000000002</v>
      </c>
      <c r="U25" s="79">
        <v>24045.7</v>
      </c>
      <c r="V25" s="79">
        <v>19448.82</v>
      </c>
      <c r="W25" s="79">
        <v>22269.62</v>
      </c>
      <c r="X25" s="20">
        <v>22814.799999999999</v>
      </c>
      <c r="Y25" s="21">
        <v>24314.52</v>
      </c>
      <c r="Z25" s="21">
        <v>24864.81</v>
      </c>
      <c r="AA25" s="21">
        <v>26087</v>
      </c>
      <c r="AB25" s="22">
        <v>27761</v>
      </c>
      <c r="AC25" s="289">
        <v>24936</v>
      </c>
      <c r="AD25" s="290">
        <v>27436</v>
      </c>
      <c r="AE25" s="290">
        <v>29436</v>
      </c>
      <c r="AF25" s="290">
        <v>31436</v>
      </c>
      <c r="AG25" s="291">
        <v>33436</v>
      </c>
      <c r="AH25" s="20">
        <v>27901.57</v>
      </c>
      <c r="AI25" s="21">
        <v>30179.599999999999</v>
      </c>
      <c r="AJ25" s="21">
        <v>30938.240000000002</v>
      </c>
      <c r="AK25" s="21">
        <v>32086.02</v>
      </c>
      <c r="AL25" s="21">
        <v>33228</v>
      </c>
      <c r="AM25" s="21">
        <v>31532.21</v>
      </c>
      <c r="AN25" s="22">
        <v>33527.68</v>
      </c>
      <c r="AO25" s="20">
        <v>30322.69</v>
      </c>
      <c r="AP25" s="21">
        <v>32805.86</v>
      </c>
      <c r="AQ25" s="21">
        <v>33632.61</v>
      </c>
      <c r="AR25" s="21">
        <v>34883.75</v>
      </c>
      <c r="AS25" s="21">
        <v>35883.75</v>
      </c>
      <c r="AT25" s="22">
        <v>34482.14</v>
      </c>
      <c r="AU25" s="20">
        <v>29996.27</v>
      </c>
      <c r="AV25" s="21">
        <v>35482.14</v>
      </c>
      <c r="AW25" s="21">
        <v>39671.440000000002</v>
      </c>
      <c r="AX25" s="21">
        <v>43687.33</v>
      </c>
      <c r="AY25" s="21">
        <v>46802.38</v>
      </c>
      <c r="AZ25" s="21">
        <v>48670</v>
      </c>
      <c r="BA25" s="21">
        <v>51694.39</v>
      </c>
      <c r="BB25" s="21">
        <v>54793</v>
      </c>
      <c r="BC25" s="22">
        <v>60122.63</v>
      </c>
      <c r="BD25" s="20">
        <v>38619.919999999998</v>
      </c>
      <c r="BE25" s="21">
        <v>43312.04</v>
      </c>
      <c r="BF25" s="21">
        <v>45248.6</v>
      </c>
      <c r="BG25" s="21">
        <v>49610.63</v>
      </c>
      <c r="BH25" s="21">
        <v>50530.19</v>
      </c>
      <c r="BI25" s="22">
        <v>51708.26</v>
      </c>
      <c r="BJ25" s="75">
        <v>73185.81</v>
      </c>
      <c r="BK25" s="22">
        <v>65508.800000000003</v>
      </c>
      <c r="BL25" s="20">
        <v>13543</v>
      </c>
      <c r="BM25" s="21">
        <v>14358.4</v>
      </c>
      <c r="BN25" s="21">
        <v>15358.4</v>
      </c>
      <c r="BO25" s="22">
        <v>16358.4</v>
      </c>
      <c r="BP25" s="20">
        <v>15630</v>
      </c>
      <c r="BQ25" s="21">
        <v>16730</v>
      </c>
      <c r="BR25" s="21">
        <v>17759.93</v>
      </c>
      <c r="BS25" s="21">
        <v>18759.93</v>
      </c>
      <c r="BT25" s="284">
        <v>18054.88</v>
      </c>
      <c r="BU25" s="20">
        <v>16113.66</v>
      </c>
      <c r="BV25" s="21">
        <v>17119</v>
      </c>
      <c r="BW25" s="21">
        <v>18723.82</v>
      </c>
      <c r="BX25" s="22">
        <v>21958.97</v>
      </c>
      <c r="BY25" s="20">
        <v>16113.66</v>
      </c>
      <c r="BZ25" s="21">
        <v>16966.25</v>
      </c>
      <c r="CA25" s="21">
        <v>18723.82</v>
      </c>
      <c r="CB25" s="22">
        <v>21958.97</v>
      </c>
      <c r="CC25" s="20">
        <v>20153.580000000002</v>
      </c>
      <c r="CD25" s="21">
        <v>21653.58</v>
      </c>
      <c r="CE25" s="21">
        <v>23153.58</v>
      </c>
      <c r="CF25" s="21">
        <v>24653.58</v>
      </c>
      <c r="CG25" s="284">
        <v>21962.94</v>
      </c>
      <c r="CH25" s="20">
        <v>20437.89</v>
      </c>
      <c r="CI25" s="21">
        <v>21937.89</v>
      </c>
      <c r="CJ25" s="21">
        <v>23437.89</v>
      </c>
      <c r="CK25" s="21">
        <v>24937.89</v>
      </c>
      <c r="CL25" s="284">
        <v>24048.39</v>
      </c>
      <c r="CM25" s="20">
        <v>21445.3</v>
      </c>
      <c r="CN25" s="21">
        <v>21962.94</v>
      </c>
      <c r="CO25" s="21">
        <v>24048.39</v>
      </c>
      <c r="CP25" s="22">
        <v>24926.05</v>
      </c>
      <c r="CQ25" s="26">
        <v>22718</v>
      </c>
      <c r="CR25" s="27">
        <v>25218</v>
      </c>
      <c r="CS25" s="27">
        <v>27910</v>
      </c>
      <c r="CT25" s="27">
        <v>30150</v>
      </c>
      <c r="CU25" s="284">
        <v>24455.119999999999</v>
      </c>
      <c r="CV25" s="26">
        <v>22718</v>
      </c>
      <c r="CW25" s="27">
        <v>25218</v>
      </c>
      <c r="CX25" s="27">
        <v>27925.57</v>
      </c>
      <c r="CY25" s="27">
        <v>30150</v>
      </c>
      <c r="CZ25" s="286">
        <v>27471.119999999999</v>
      </c>
      <c r="DA25" s="26">
        <v>24058</v>
      </c>
      <c r="DB25" s="27">
        <v>27058</v>
      </c>
      <c r="DC25" s="27">
        <v>30058</v>
      </c>
      <c r="DD25" s="27">
        <v>32346</v>
      </c>
      <c r="DE25" s="286">
        <v>28671.01</v>
      </c>
      <c r="DF25" s="26">
        <v>22718</v>
      </c>
      <c r="DG25" s="27">
        <v>25218</v>
      </c>
      <c r="DH25" s="27">
        <v>27910</v>
      </c>
      <c r="DI25" s="28">
        <v>30150</v>
      </c>
      <c r="DJ25" s="26">
        <v>23588</v>
      </c>
      <c r="DK25" s="27">
        <v>26088</v>
      </c>
      <c r="DL25" s="27">
        <v>28780</v>
      </c>
      <c r="DM25" s="28">
        <v>31020</v>
      </c>
      <c r="DN25" s="39">
        <v>31670</v>
      </c>
      <c r="DO25" s="40">
        <v>33670</v>
      </c>
      <c r="DP25" s="40">
        <v>36440</v>
      </c>
      <c r="DQ25" s="40">
        <v>39440</v>
      </c>
      <c r="DR25" s="40">
        <v>42440</v>
      </c>
      <c r="DS25" s="40">
        <v>43820</v>
      </c>
      <c r="DT25" s="40">
        <v>47320</v>
      </c>
      <c r="DU25" s="40">
        <v>50320</v>
      </c>
      <c r="DV25" s="40">
        <v>52990</v>
      </c>
      <c r="DW25" s="40">
        <v>55990</v>
      </c>
      <c r="DX25" s="40">
        <v>58990</v>
      </c>
      <c r="DY25" s="40">
        <v>60780</v>
      </c>
      <c r="DZ25" s="40">
        <v>63780</v>
      </c>
      <c r="EA25" s="41">
        <v>66780</v>
      </c>
    </row>
    <row r="26" spans="1:131">
      <c r="A26" s="19">
        <v>23</v>
      </c>
      <c r="B26" s="20">
        <v>19840.080000000002</v>
      </c>
      <c r="C26" s="21">
        <v>20905.990000000002</v>
      </c>
      <c r="D26" s="21">
        <v>22908.97</v>
      </c>
      <c r="E26" s="22">
        <v>23908.97</v>
      </c>
      <c r="F26" s="20">
        <v>22061.5</v>
      </c>
      <c r="G26" s="21">
        <v>22980.43</v>
      </c>
      <c r="H26" s="21">
        <v>24777.19</v>
      </c>
      <c r="I26" s="22">
        <v>26277.19</v>
      </c>
      <c r="J26" s="59">
        <v>22335.73</v>
      </c>
      <c r="K26" s="53">
        <v>22977.19</v>
      </c>
      <c r="L26" s="53">
        <v>24786.55</v>
      </c>
      <c r="M26" s="53">
        <v>26016.63</v>
      </c>
      <c r="N26" s="53">
        <v>26872</v>
      </c>
      <c r="O26" s="60">
        <v>27749.66</v>
      </c>
      <c r="P26" s="79">
        <v>17725.05</v>
      </c>
      <c r="Q26" s="79">
        <v>23740.23</v>
      </c>
      <c r="R26" s="79">
        <v>24079.23</v>
      </c>
      <c r="S26" s="79">
        <v>24565.8</v>
      </c>
      <c r="T26" s="79">
        <v>17730.740000000002</v>
      </c>
      <c r="U26" s="79">
        <v>24045.7</v>
      </c>
      <c r="V26" s="79">
        <v>19448.82</v>
      </c>
      <c r="W26" s="79">
        <v>22269.62</v>
      </c>
      <c r="X26" s="20">
        <v>23013.119999999999</v>
      </c>
      <c r="Y26" s="21">
        <v>24475.66</v>
      </c>
      <c r="Z26" s="21">
        <v>25095.360000000001</v>
      </c>
      <c r="AA26" s="21">
        <v>26335</v>
      </c>
      <c r="AB26" s="22">
        <v>27960</v>
      </c>
      <c r="AC26" s="289">
        <v>25206</v>
      </c>
      <c r="AD26" s="290">
        <v>27706</v>
      </c>
      <c r="AE26" s="290">
        <v>29706</v>
      </c>
      <c r="AF26" s="290">
        <v>31706</v>
      </c>
      <c r="AG26" s="291">
        <v>33706</v>
      </c>
      <c r="AH26" s="20">
        <v>28189.13</v>
      </c>
      <c r="AI26" s="21">
        <v>30484.51</v>
      </c>
      <c r="AJ26" s="21">
        <v>31260.51</v>
      </c>
      <c r="AK26" s="21">
        <v>32433.08</v>
      </c>
      <c r="AL26" s="21">
        <v>33498</v>
      </c>
      <c r="AM26" s="21">
        <v>31879.27</v>
      </c>
      <c r="AN26" s="22">
        <v>33849.949999999997</v>
      </c>
      <c r="AO26" s="20">
        <v>30636.13</v>
      </c>
      <c r="AP26" s="21">
        <v>33138.22</v>
      </c>
      <c r="AQ26" s="21">
        <v>33983.879999999997</v>
      </c>
      <c r="AR26" s="21">
        <v>35262.04</v>
      </c>
      <c r="AS26" s="21">
        <v>36262.04</v>
      </c>
      <c r="AT26" s="22">
        <v>34804.410000000003</v>
      </c>
      <c r="AU26" s="20">
        <v>30246.65</v>
      </c>
      <c r="AV26" s="21">
        <v>35804.410000000003</v>
      </c>
      <c r="AW26" s="21">
        <v>40068.07</v>
      </c>
      <c r="AX26" s="21">
        <v>44108.75</v>
      </c>
      <c r="AY26" s="21">
        <v>47248.59</v>
      </c>
      <c r="AZ26" s="21">
        <v>48905.5</v>
      </c>
      <c r="BA26" s="21">
        <v>52066.239999999998</v>
      </c>
      <c r="BB26" s="21">
        <v>54793</v>
      </c>
      <c r="BC26" s="22">
        <v>60122.63</v>
      </c>
      <c r="BD26" s="20">
        <v>38980.86</v>
      </c>
      <c r="BE26" s="21">
        <v>43756.27</v>
      </c>
      <c r="BF26" s="21">
        <v>45695.31</v>
      </c>
      <c r="BG26" s="21">
        <v>50083.62</v>
      </c>
      <c r="BH26" s="21">
        <v>50779.82</v>
      </c>
      <c r="BI26" s="22">
        <v>52087.54</v>
      </c>
      <c r="BJ26" s="75">
        <v>73185.81</v>
      </c>
      <c r="BK26" s="22">
        <v>65508.800000000003</v>
      </c>
      <c r="BL26" s="20">
        <v>13570</v>
      </c>
      <c r="BM26" s="21">
        <v>14417.74</v>
      </c>
      <c r="BN26" s="21">
        <v>15417.74</v>
      </c>
      <c r="BO26" s="22">
        <v>16417.740000000002</v>
      </c>
      <c r="BP26" s="20">
        <v>15888.43</v>
      </c>
      <c r="BQ26" s="21">
        <v>17051.66</v>
      </c>
      <c r="BR26" s="21">
        <v>18108.98</v>
      </c>
      <c r="BS26" s="21">
        <v>19108.98</v>
      </c>
      <c r="BT26" s="284">
        <v>18403.93</v>
      </c>
      <c r="BU26" s="20">
        <v>16462.71</v>
      </c>
      <c r="BV26" s="21">
        <v>17468.05</v>
      </c>
      <c r="BW26" s="21">
        <v>19072.87</v>
      </c>
      <c r="BX26" s="22">
        <v>22312</v>
      </c>
      <c r="BY26" s="20">
        <v>16462.71</v>
      </c>
      <c r="BZ26" s="21">
        <v>17315.3</v>
      </c>
      <c r="CA26" s="21">
        <v>19072.87</v>
      </c>
      <c r="CB26" s="22">
        <v>22312</v>
      </c>
      <c r="CC26" s="20">
        <v>20777.189999999999</v>
      </c>
      <c r="CD26" s="21">
        <v>22277.19</v>
      </c>
      <c r="CE26" s="21">
        <v>23777.19</v>
      </c>
      <c r="CF26" s="21">
        <v>25277.19</v>
      </c>
      <c r="CG26" s="284">
        <v>22586.55</v>
      </c>
      <c r="CH26" s="20">
        <v>21061.5</v>
      </c>
      <c r="CI26" s="21">
        <v>22561.5</v>
      </c>
      <c r="CJ26" s="21">
        <v>24061.5</v>
      </c>
      <c r="CK26" s="21">
        <v>25561.5</v>
      </c>
      <c r="CL26" s="284">
        <v>24672</v>
      </c>
      <c r="CM26" s="20">
        <v>21980.43</v>
      </c>
      <c r="CN26" s="21">
        <v>22586.55</v>
      </c>
      <c r="CO26" s="21">
        <v>24672</v>
      </c>
      <c r="CP26" s="22">
        <v>25549.66</v>
      </c>
      <c r="CQ26" s="26">
        <v>23343</v>
      </c>
      <c r="CR26" s="27">
        <v>25843</v>
      </c>
      <c r="CS26" s="27">
        <v>28828</v>
      </c>
      <c r="CT26" s="27">
        <v>31068</v>
      </c>
      <c r="CU26" s="284">
        <v>25079.39</v>
      </c>
      <c r="CV26" s="26">
        <v>23343</v>
      </c>
      <c r="CW26" s="27">
        <v>25843</v>
      </c>
      <c r="CX26" s="27">
        <v>28828</v>
      </c>
      <c r="CY26" s="27">
        <v>31068</v>
      </c>
      <c r="CZ26" s="286">
        <v>28095.39</v>
      </c>
      <c r="DA26" s="26">
        <v>24683</v>
      </c>
      <c r="DB26" s="27">
        <v>27683</v>
      </c>
      <c r="DC26" s="27">
        <v>30683</v>
      </c>
      <c r="DD26" s="27">
        <v>33090</v>
      </c>
      <c r="DE26" s="286">
        <v>29350.35</v>
      </c>
      <c r="DF26" s="26">
        <v>23343</v>
      </c>
      <c r="DG26" s="27">
        <v>25843</v>
      </c>
      <c r="DH26" s="27">
        <v>28828</v>
      </c>
      <c r="DI26" s="28">
        <v>31068</v>
      </c>
      <c r="DJ26" s="26">
        <v>24213</v>
      </c>
      <c r="DK26" s="27">
        <v>26713</v>
      </c>
      <c r="DL26" s="27">
        <v>29698</v>
      </c>
      <c r="DM26" s="28">
        <v>31938</v>
      </c>
      <c r="DN26" s="42">
        <v>32115</v>
      </c>
      <c r="DO26" s="43">
        <v>34115</v>
      </c>
      <c r="DP26" s="43">
        <v>36920</v>
      </c>
      <c r="DQ26" s="43">
        <v>39920</v>
      </c>
      <c r="DR26" s="43">
        <v>42920</v>
      </c>
      <c r="DS26" s="43">
        <v>44340</v>
      </c>
      <c r="DT26" s="43">
        <v>47840</v>
      </c>
      <c r="DU26" s="43">
        <v>50840</v>
      </c>
      <c r="DV26" s="40">
        <v>52990</v>
      </c>
      <c r="DW26" s="40">
        <v>55990</v>
      </c>
      <c r="DX26" s="40">
        <v>58990</v>
      </c>
      <c r="DY26" s="40">
        <v>60780</v>
      </c>
      <c r="DZ26" s="40">
        <v>63780</v>
      </c>
      <c r="EA26" s="41">
        <v>66780</v>
      </c>
    </row>
    <row r="27" spans="1:131">
      <c r="A27" s="19">
        <v>24</v>
      </c>
      <c r="B27" s="20">
        <v>19964.03</v>
      </c>
      <c r="C27" s="21">
        <v>21054.73</v>
      </c>
      <c r="D27" s="21">
        <v>23097.37</v>
      </c>
      <c r="E27" s="22">
        <v>24097.37</v>
      </c>
      <c r="F27" s="20">
        <v>22061.5</v>
      </c>
      <c r="G27" s="21">
        <v>22980.43</v>
      </c>
      <c r="H27" s="21">
        <v>24777.19</v>
      </c>
      <c r="I27" s="22">
        <v>26277.19</v>
      </c>
      <c r="J27" s="59">
        <v>22335.73</v>
      </c>
      <c r="K27" s="53">
        <v>22977.19</v>
      </c>
      <c r="L27" s="53">
        <v>24786.55</v>
      </c>
      <c r="M27" s="53">
        <v>26016.63</v>
      </c>
      <c r="N27" s="53">
        <v>26872</v>
      </c>
      <c r="O27" s="60">
        <v>27749.66</v>
      </c>
      <c r="P27" s="79">
        <v>17725.05</v>
      </c>
      <c r="Q27" s="79">
        <v>23740.23</v>
      </c>
      <c r="R27" s="79">
        <v>24079.23</v>
      </c>
      <c r="S27" s="79">
        <v>24565.8</v>
      </c>
      <c r="T27" s="79">
        <v>17730.740000000002</v>
      </c>
      <c r="U27" s="79">
        <v>24045.7</v>
      </c>
      <c r="V27" s="79">
        <v>19448.82</v>
      </c>
      <c r="W27" s="79">
        <v>22269.62</v>
      </c>
      <c r="X27" s="20">
        <v>23149.47</v>
      </c>
      <c r="Y27" s="21">
        <v>24636.799999999999</v>
      </c>
      <c r="Z27" s="21">
        <v>25325.91</v>
      </c>
      <c r="AA27" s="21">
        <v>26558</v>
      </c>
      <c r="AB27" s="22">
        <v>28160</v>
      </c>
      <c r="AC27" s="289">
        <v>25476</v>
      </c>
      <c r="AD27" s="290">
        <v>27976</v>
      </c>
      <c r="AE27" s="290">
        <v>29976</v>
      </c>
      <c r="AF27" s="290">
        <v>31976</v>
      </c>
      <c r="AG27" s="291">
        <v>33976</v>
      </c>
      <c r="AH27" s="20">
        <v>28476.69</v>
      </c>
      <c r="AI27" s="21">
        <v>30789.42</v>
      </c>
      <c r="AJ27" s="21">
        <v>31582.78</v>
      </c>
      <c r="AK27" s="21">
        <v>32780.14</v>
      </c>
      <c r="AL27" s="21">
        <v>33768</v>
      </c>
      <c r="AM27" s="21">
        <v>32176.75</v>
      </c>
      <c r="AN27" s="22">
        <v>34172.22</v>
      </c>
      <c r="AO27" s="20">
        <v>30949.57</v>
      </c>
      <c r="AP27" s="21">
        <v>33470.58</v>
      </c>
      <c r="AQ27" s="21">
        <v>34335.15</v>
      </c>
      <c r="AR27" s="21">
        <v>35640.33</v>
      </c>
      <c r="AS27" s="21">
        <v>36640.33</v>
      </c>
      <c r="AT27" s="22">
        <v>35126.68</v>
      </c>
      <c r="AU27" s="20">
        <v>30497.03</v>
      </c>
      <c r="AV27" s="21">
        <v>36126.68</v>
      </c>
      <c r="AW27" s="21">
        <v>40365.550000000003</v>
      </c>
      <c r="AX27" s="21">
        <v>44530.17</v>
      </c>
      <c r="AY27" s="21">
        <v>47694.8</v>
      </c>
      <c r="AZ27" s="21">
        <v>49141</v>
      </c>
      <c r="BA27" s="21">
        <v>52438.09</v>
      </c>
      <c r="BB27" s="21">
        <v>56280.37</v>
      </c>
      <c r="BC27" s="22">
        <v>61733.94</v>
      </c>
      <c r="BD27" s="20">
        <v>39341.800000000003</v>
      </c>
      <c r="BE27" s="21">
        <v>44089.440000000002</v>
      </c>
      <c r="BF27" s="21">
        <v>46142.02</v>
      </c>
      <c r="BG27" s="21">
        <v>50556.61</v>
      </c>
      <c r="BH27" s="21">
        <v>51029.45</v>
      </c>
      <c r="BI27" s="22">
        <v>52466.82</v>
      </c>
      <c r="BJ27" s="75">
        <v>73185.81</v>
      </c>
      <c r="BK27" s="22">
        <v>65508.800000000003</v>
      </c>
      <c r="BL27" s="20">
        <v>13597</v>
      </c>
      <c r="BM27" s="21">
        <v>14417.74</v>
      </c>
      <c r="BN27" s="21">
        <v>15417.74</v>
      </c>
      <c r="BO27" s="22">
        <v>16417.740000000002</v>
      </c>
      <c r="BP27" s="20">
        <v>15888.43</v>
      </c>
      <c r="BQ27" s="21">
        <v>17051.66</v>
      </c>
      <c r="BR27" s="21">
        <v>18108.98</v>
      </c>
      <c r="BS27" s="21">
        <v>19973</v>
      </c>
      <c r="BT27" s="284">
        <v>18403.93</v>
      </c>
      <c r="BU27" s="20">
        <v>16462.71</v>
      </c>
      <c r="BV27" s="21">
        <v>17468.05</v>
      </c>
      <c r="BW27" s="21">
        <v>19072.87</v>
      </c>
      <c r="BX27" s="22">
        <v>22312</v>
      </c>
      <c r="BY27" s="20">
        <v>16462.71</v>
      </c>
      <c r="BZ27" s="21">
        <v>17315.3</v>
      </c>
      <c r="CA27" s="21">
        <v>19072.87</v>
      </c>
      <c r="CB27" s="22">
        <v>22312</v>
      </c>
      <c r="CC27" s="20">
        <v>20777.189999999999</v>
      </c>
      <c r="CD27" s="21">
        <v>22277.19</v>
      </c>
      <c r="CE27" s="21">
        <v>23777.19</v>
      </c>
      <c r="CF27" s="21">
        <v>26168</v>
      </c>
      <c r="CG27" s="284">
        <v>22586.55</v>
      </c>
      <c r="CH27" s="20">
        <v>21061.5</v>
      </c>
      <c r="CI27" s="21">
        <v>22561.5</v>
      </c>
      <c r="CJ27" s="21">
        <v>24061.5</v>
      </c>
      <c r="CK27" s="21">
        <v>26168</v>
      </c>
      <c r="CL27" s="284">
        <v>24672</v>
      </c>
      <c r="CM27" s="20">
        <v>21980.43</v>
      </c>
      <c r="CN27" s="21">
        <v>22586.55</v>
      </c>
      <c r="CO27" s="21">
        <v>24672</v>
      </c>
      <c r="CP27" s="22">
        <v>26168</v>
      </c>
      <c r="CQ27" s="26">
        <v>23343</v>
      </c>
      <c r="CR27" s="27">
        <v>25843</v>
      </c>
      <c r="CS27" s="27">
        <v>28828</v>
      </c>
      <c r="CT27" s="27">
        <v>31068</v>
      </c>
      <c r="CU27" s="284">
        <v>25079.39</v>
      </c>
      <c r="CV27" s="26">
        <v>23343</v>
      </c>
      <c r="CW27" s="27">
        <v>25843</v>
      </c>
      <c r="CX27" s="27">
        <v>28828</v>
      </c>
      <c r="CY27" s="27">
        <v>31068</v>
      </c>
      <c r="CZ27" s="286">
        <v>28095.39</v>
      </c>
      <c r="DA27" s="26">
        <v>24683</v>
      </c>
      <c r="DB27" s="27">
        <v>27683</v>
      </c>
      <c r="DC27" s="27">
        <v>30683</v>
      </c>
      <c r="DD27" s="27">
        <v>33090</v>
      </c>
      <c r="DE27" s="286">
        <v>29350.35</v>
      </c>
      <c r="DF27" s="26">
        <v>23343</v>
      </c>
      <c r="DG27" s="27">
        <v>25843</v>
      </c>
      <c r="DH27" s="27">
        <v>28828</v>
      </c>
      <c r="DI27" s="28">
        <v>31068</v>
      </c>
      <c r="DJ27" s="26">
        <v>24213</v>
      </c>
      <c r="DK27" s="27">
        <v>26713</v>
      </c>
      <c r="DL27" s="27">
        <v>29698</v>
      </c>
      <c r="DM27" s="28">
        <v>31938</v>
      </c>
      <c r="DN27" s="39">
        <v>32560</v>
      </c>
      <c r="DO27" s="40">
        <v>34560</v>
      </c>
      <c r="DP27" s="40">
        <v>37400</v>
      </c>
      <c r="DQ27" s="40">
        <v>40400</v>
      </c>
      <c r="DR27" s="40">
        <v>43400</v>
      </c>
      <c r="DS27" s="40">
        <v>44860</v>
      </c>
      <c r="DT27" s="40">
        <v>48360</v>
      </c>
      <c r="DU27" s="40">
        <v>51360</v>
      </c>
      <c r="DV27" s="40">
        <v>52990</v>
      </c>
      <c r="DW27" s="40">
        <v>55990</v>
      </c>
      <c r="DX27" s="40">
        <v>58990</v>
      </c>
      <c r="DY27" s="40">
        <v>60780</v>
      </c>
      <c r="DZ27" s="40">
        <v>63780</v>
      </c>
      <c r="EA27" s="41">
        <v>66780</v>
      </c>
    </row>
    <row r="28" spans="1:131">
      <c r="A28" s="19">
        <v>25</v>
      </c>
      <c r="B28" s="20">
        <v>20087.98</v>
      </c>
      <c r="C28" s="21">
        <v>21203.47</v>
      </c>
      <c r="D28" s="21">
        <v>23285.77</v>
      </c>
      <c r="E28" s="22">
        <v>24285.77</v>
      </c>
      <c r="F28" s="20">
        <v>22685.11</v>
      </c>
      <c r="G28" s="21">
        <v>23515.56</v>
      </c>
      <c r="H28" s="21">
        <v>25400.799999999999</v>
      </c>
      <c r="I28" s="22">
        <v>26900.799999999999</v>
      </c>
      <c r="J28" s="59">
        <v>22959.34</v>
      </c>
      <c r="K28" s="53">
        <v>23600.799999999999</v>
      </c>
      <c r="L28" s="53">
        <v>25142.89</v>
      </c>
      <c r="M28" s="53">
        <v>26372.97</v>
      </c>
      <c r="N28" s="53">
        <v>27495.61</v>
      </c>
      <c r="O28" s="60">
        <v>28373.27</v>
      </c>
      <c r="P28" s="79">
        <v>17725.05</v>
      </c>
      <c r="Q28" s="79">
        <v>23740.23</v>
      </c>
      <c r="R28" s="79">
        <v>24079.23</v>
      </c>
      <c r="S28" s="79">
        <v>24565.8</v>
      </c>
      <c r="T28" s="79">
        <v>17730.740000000002</v>
      </c>
      <c r="U28" s="79">
        <v>24045.7</v>
      </c>
      <c r="V28" s="79">
        <v>19448.82</v>
      </c>
      <c r="W28" s="79">
        <v>22269.62</v>
      </c>
      <c r="X28" s="20">
        <v>23285.82</v>
      </c>
      <c r="Y28" s="21">
        <v>24797.94</v>
      </c>
      <c r="Z28" s="21">
        <v>25541.58</v>
      </c>
      <c r="AA28" s="21">
        <v>26781</v>
      </c>
      <c r="AB28" s="22">
        <v>28417</v>
      </c>
      <c r="AC28" s="289">
        <v>25745</v>
      </c>
      <c r="AD28" s="290">
        <v>28245</v>
      </c>
      <c r="AE28" s="290">
        <v>30245</v>
      </c>
      <c r="AF28" s="290">
        <v>32245</v>
      </c>
      <c r="AG28" s="291">
        <v>34245</v>
      </c>
      <c r="AH28" s="20">
        <v>28764.25</v>
      </c>
      <c r="AI28" s="21">
        <v>31069.54</v>
      </c>
      <c r="AJ28" s="21">
        <v>31887.69</v>
      </c>
      <c r="AK28" s="21">
        <v>33127.199999999997</v>
      </c>
      <c r="AL28" s="21">
        <v>34037</v>
      </c>
      <c r="AM28" s="21">
        <v>32474.23</v>
      </c>
      <c r="AN28" s="22">
        <v>34457.300000000003</v>
      </c>
      <c r="AO28" s="20">
        <v>31263.01</v>
      </c>
      <c r="AP28" s="21">
        <v>33775.919999999998</v>
      </c>
      <c r="AQ28" s="21">
        <v>34667.51</v>
      </c>
      <c r="AR28" s="21">
        <v>36018.620000000003</v>
      </c>
      <c r="AS28" s="21">
        <v>37018.620000000003</v>
      </c>
      <c r="AT28" s="22">
        <v>35448.949999999997</v>
      </c>
      <c r="AU28" s="20">
        <v>30747.41</v>
      </c>
      <c r="AV28" s="21">
        <v>36448.949999999997</v>
      </c>
      <c r="AW28" s="21">
        <v>40663.03</v>
      </c>
      <c r="AX28" s="21">
        <v>44951.59</v>
      </c>
      <c r="AY28" s="21">
        <v>48141.01</v>
      </c>
      <c r="AZ28" s="21">
        <v>49141</v>
      </c>
      <c r="BA28" s="21">
        <v>52438.09</v>
      </c>
      <c r="BB28" s="21">
        <v>56280.37</v>
      </c>
      <c r="BC28" s="22">
        <v>61733.94</v>
      </c>
      <c r="BD28" s="20">
        <v>39702.74</v>
      </c>
      <c r="BE28" s="21">
        <v>44422.61</v>
      </c>
      <c r="BF28" s="21">
        <v>46588.73</v>
      </c>
      <c r="BG28" s="21">
        <v>51029.599999999999</v>
      </c>
      <c r="BH28" s="21">
        <v>51029.45</v>
      </c>
      <c r="BI28" s="22">
        <v>52466.82</v>
      </c>
      <c r="BJ28" s="75">
        <v>73185.81</v>
      </c>
      <c r="BK28" s="22">
        <v>65508.800000000003</v>
      </c>
      <c r="BL28" s="20">
        <v>13624</v>
      </c>
      <c r="BM28" s="21">
        <v>14545.13</v>
      </c>
      <c r="BN28" s="21">
        <v>15545.13</v>
      </c>
      <c r="BO28" s="22">
        <v>16545.13</v>
      </c>
      <c r="BP28" s="20">
        <v>16212.54</v>
      </c>
      <c r="BQ28" s="21">
        <v>17400.71</v>
      </c>
      <c r="BR28" s="21">
        <v>18458.03</v>
      </c>
      <c r="BS28" s="21">
        <v>20095</v>
      </c>
      <c r="BT28" s="284">
        <v>18752.98</v>
      </c>
      <c r="BU28" s="20">
        <v>16811.759999999998</v>
      </c>
      <c r="BV28" s="21">
        <v>17817.099999999999</v>
      </c>
      <c r="BW28" s="21">
        <v>19421.919999999998</v>
      </c>
      <c r="BX28" s="22">
        <v>22665.03</v>
      </c>
      <c r="BY28" s="20">
        <v>16811.759999999998</v>
      </c>
      <c r="BZ28" s="21">
        <v>17664.349999999999</v>
      </c>
      <c r="CA28" s="21">
        <v>19421.919999999998</v>
      </c>
      <c r="CB28" s="22">
        <v>22665.03</v>
      </c>
      <c r="CC28" s="20">
        <v>21400.799999999999</v>
      </c>
      <c r="CD28" s="21">
        <v>22900.799999999999</v>
      </c>
      <c r="CE28" s="21">
        <v>24400.799999999999</v>
      </c>
      <c r="CF28" s="21">
        <v>26368</v>
      </c>
      <c r="CG28" s="284">
        <v>23210.16</v>
      </c>
      <c r="CH28" s="20">
        <v>21685.11</v>
      </c>
      <c r="CI28" s="21">
        <v>23185.11</v>
      </c>
      <c r="CJ28" s="21">
        <v>24685.11</v>
      </c>
      <c r="CK28" s="21">
        <v>26368</v>
      </c>
      <c r="CL28" s="284">
        <v>25295.61</v>
      </c>
      <c r="CM28" s="20">
        <v>22515.56</v>
      </c>
      <c r="CN28" s="21">
        <v>23210.16</v>
      </c>
      <c r="CO28" s="21">
        <v>25295.61</v>
      </c>
      <c r="CP28" s="22">
        <v>26368</v>
      </c>
      <c r="CQ28" s="26">
        <v>23968</v>
      </c>
      <c r="CR28" s="27">
        <v>26468</v>
      </c>
      <c r="CS28" s="27">
        <v>29342</v>
      </c>
      <c r="CT28" s="27">
        <v>31582</v>
      </c>
      <c r="CU28" s="284">
        <v>25703.66</v>
      </c>
      <c r="CV28" s="26">
        <v>23968</v>
      </c>
      <c r="CW28" s="27">
        <v>26468</v>
      </c>
      <c r="CX28" s="27">
        <v>29342</v>
      </c>
      <c r="CY28" s="27">
        <v>31582</v>
      </c>
      <c r="CZ28" s="286">
        <v>28719.66</v>
      </c>
      <c r="DA28" s="26">
        <v>25308</v>
      </c>
      <c r="DB28" s="27">
        <v>28308</v>
      </c>
      <c r="DC28" s="27">
        <v>31308</v>
      </c>
      <c r="DD28" s="27">
        <v>33834</v>
      </c>
      <c r="DE28" s="286">
        <v>30029.69</v>
      </c>
      <c r="DF28" s="26">
        <v>23968</v>
      </c>
      <c r="DG28" s="27">
        <v>26468</v>
      </c>
      <c r="DH28" s="27">
        <v>29342</v>
      </c>
      <c r="DI28" s="28">
        <v>31582</v>
      </c>
      <c r="DJ28" s="26">
        <v>24838</v>
      </c>
      <c r="DK28" s="27">
        <v>27338</v>
      </c>
      <c r="DL28" s="27">
        <v>30212</v>
      </c>
      <c r="DM28" s="28">
        <v>32452</v>
      </c>
      <c r="DN28" s="42">
        <v>33005</v>
      </c>
      <c r="DO28" s="43">
        <v>35005</v>
      </c>
      <c r="DP28" s="43">
        <v>37880</v>
      </c>
      <c r="DQ28" s="43">
        <v>40880</v>
      </c>
      <c r="DR28" s="43">
        <v>43880</v>
      </c>
      <c r="DS28" s="40">
        <v>44860</v>
      </c>
      <c r="DT28" s="40">
        <v>48360</v>
      </c>
      <c r="DU28" s="40">
        <v>51360</v>
      </c>
      <c r="DV28" s="40">
        <v>52990</v>
      </c>
      <c r="DW28" s="40">
        <v>55990</v>
      </c>
      <c r="DX28" s="40">
        <v>58990</v>
      </c>
      <c r="DY28" s="40">
        <v>60780</v>
      </c>
      <c r="DZ28" s="40">
        <v>63780</v>
      </c>
      <c r="EA28" s="41">
        <v>66780</v>
      </c>
    </row>
    <row r="29" spans="1:131">
      <c r="A29" s="19">
        <v>26</v>
      </c>
      <c r="B29" s="20">
        <v>20087.98</v>
      </c>
      <c r="C29" s="21">
        <v>21203.47</v>
      </c>
      <c r="D29" s="21">
        <v>23285.77</v>
      </c>
      <c r="E29" s="22">
        <v>24285.77</v>
      </c>
      <c r="F29" s="20">
        <v>22685.11</v>
      </c>
      <c r="G29" s="21">
        <v>23515.56</v>
      </c>
      <c r="H29" s="21">
        <v>25400.799999999999</v>
      </c>
      <c r="I29" s="22">
        <v>26900.799999999999</v>
      </c>
      <c r="J29" s="59">
        <v>22959.34</v>
      </c>
      <c r="K29" s="53">
        <v>23600.799999999999</v>
      </c>
      <c r="L29" s="53">
        <v>25142.89</v>
      </c>
      <c r="M29" s="53">
        <v>26372.97</v>
      </c>
      <c r="N29" s="53">
        <v>27495.61</v>
      </c>
      <c r="O29" s="60">
        <v>28373.27</v>
      </c>
      <c r="P29" s="79">
        <v>17725.05</v>
      </c>
      <c r="Q29" s="79">
        <v>23740.23</v>
      </c>
      <c r="R29" s="79">
        <v>24079.23</v>
      </c>
      <c r="S29" s="79">
        <v>24565.8</v>
      </c>
      <c r="T29" s="79">
        <v>17730.740000000002</v>
      </c>
      <c r="U29" s="79">
        <v>24045.7</v>
      </c>
      <c r="V29" s="79">
        <v>19448.82</v>
      </c>
      <c r="W29" s="79">
        <v>22269.62</v>
      </c>
      <c r="X29" s="20">
        <v>23285.82</v>
      </c>
      <c r="Y29" s="21">
        <v>24797.94</v>
      </c>
      <c r="Z29" s="21">
        <v>25541.58</v>
      </c>
      <c r="AA29" s="21">
        <v>26860</v>
      </c>
      <c r="AB29" s="22">
        <v>28560</v>
      </c>
      <c r="AC29" s="289">
        <v>26015</v>
      </c>
      <c r="AD29" s="290">
        <v>28515</v>
      </c>
      <c r="AE29" s="290">
        <v>30515</v>
      </c>
      <c r="AF29" s="290">
        <v>32515</v>
      </c>
      <c r="AG29" s="291">
        <v>34515</v>
      </c>
      <c r="AH29" s="20">
        <v>28764.25</v>
      </c>
      <c r="AI29" s="21">
        <v>31069.54</v>
      </c>
      <c r="AJ29" s="21">
        <v>31887.69</v>
      </c>
      <c r="AK29" s="21">
        <v>33127.199999999997</v>
      </c>
      <c r="AL29" s="21">
        <v>34307</v>
      </c>
      <c r="AM29" s="21">
        <v>32474.23</v>
      </c>
      <c r="AN29" s="22">
        <v>34457.300000000003</v>
      </c>
      <c r="AO29" s="20">
        <v>31263.01</v>
      </c>
      <c r="AP29" s="21">
        <v>33775.919999999998</v>
      </c>
      <c r="AQ29" s="21">
        <v>34667.51</v>
      </c>
      <c r="AR29" s="21">
        <v>36018.620000000003</v>
      </c>
      <c r="AS29" s="21">
        <v>37018.620000000003</v>
      </c>
      <c r="AT29" s="22">
        <v>35449.949999999997</v>
      </c>
      <c r="AU29" s="20">
        <v>30747.41</v>
      </c>
      <c r="AV29" s="21">
        <v>36448.949999999997</v>
      </c>
      <c r="AW29" s="21">
        <v>40663.03</v>
      </c>
      <c r="AX29" s="21">
        <v>44951.59</v>
      </c>
      <c r="AY29" s="21">
        <v>48141.01</v>
      </c>
      <c r="AZ29" s="21">
        <v>49141</v>
      </c>
      <c r="BA29" s="21">
        <v>52438.09</v>
      </c>
      <c r="BB29" s="21">
        <v>57767.74</v>
      </c>
      <c r="BC29" s="22">
        <v>63345.25</v>
      </c>
      <c r="BD29" s="20">
        <v>39702.74</v>
      </c>
      <c r="BE29" s="21">
        <v>44422.61</v>
      </c>
      <c r="BF29" s="21">
        <v>46588.73</v>
      </c>
      <c r="BG29" s="21">
        <v>51029.599999999999</v>
      </c>
      <c r="BH29" s="21">
        <v>51029.45</v>
      </c>
      <c r="BI29" s="22">
        <v>52466.82</v>
      </c>
      <c r="BJ29" s="75">
        <v>73185.81</v>
      </c>
      <c r="BK29" s="22">
        <v>65508.800000000003</v>
      </c>
      <c r="BL29" s="20">
        <v>13651</v>
      </c>
      <c r="BM29" s="21">
        <v>14545.13</v>
      </c>
      <c r="BN29" s="21">
        <v>15545.13</v>
      </c>
      <c r="BO29" s="22">
        <v>16545.13</v>
      </c>
      <c r="BP29" s="20">
        <v>16212.54</v>
      </c>
      <c r="BQ29" s="21">
        <v>17400.71</v>
      </c>
      <c r="BR29" s="21">
        <v>18458.03</v>
      </c>
      <c r="BS29" s="21">
        <v>20217</v>
      </c>
      <c r="BT29" s="284">
        <v>18752.98</v>
      </c>
      <c r="BU29" s="20">
        <v>16811.759999999998</v>
      </c>
      <c r="BV29" s="21">
        <v>17817.099999999999</v>
      </c>
      <c r="BW29" s="21">
        <v>19421.919999999998</v>
      </c>
      <c r="BX29" s="22">
        <v>22665.03</v>
      </c>
      <c r="BY29" s="20">
        <v>16811.759999999998</v>
      </c>
      <c r="BZ29" s="21">
        <v>17664.349999999999</v>
      </c>
      <c r="CA29" s="21">
        <v>19421.919999999998</v>
      </c>
      <c r="CB29" s="22">
        <v>22665.03</v>
      </c>
      <c r="CC29" s="20">
        <v>21400.799999999999</v>
      </c>
      <c r="CD29" s="21">
        <v>22900.799999999999</v>
      </c>
      <c r="CE29" s="21">
        <v>24400.799999999999</v>
      </c>
      <c r="CF29" s="21">
        <v>26568</v>
      </c>
      <c r="CG29" s="284">
        <v>23210.16</v>
      </c>
      <c r="CH29" s="20">
        <v>21685.11</v>
      </c>
      <c r="CI29" s="21">
        <v>23185.11</v>
      </c>
      <c r="CJ29" s="21">
        <v>24685.11</v>
      </c>
      <c r="CK29" s="21">
        <v>26568</v>
      </c>
      <c r="CL29" s="284">
        <v>25295.61</v>
      </c>
      <c r="CM29" s="20">
        <v>22515.56</v>
      </c>
      <c r="CN29" s="21">
        <v>23210.16</v>
      </c>
      <c r="CO29" s="21">
        <v>25295.61</v>
      </c>
      <c r="CP29" s="22">
        <v>26568</v>
      </c>
      <c r="CQ29" s="26">
        <v>23968</v>
      </c>
      <c r="CR29" s="27">
        <v>26468</v>
      </c>
      <c r="CS29" s="27">
        <v>29342</v>
      </c>
      <c r="CT29" s="27">
        <v>31582</v>
      </c>
      <c r="CU29" s="284">
        <v>25703.66</v>
      </c>
      <c r="CV29" s="26">
        <v>23968</v>
      </c>
      <c r="CW29" s="27">
        <v>26468</v>
      </c>
      <c r="CX29" s="27">
        <v>29342</v>
      </c>
      <c r="CY29" s="27">
        <v>31582</v>
      </c>
      <c r="CZ29" s="286">
        <v>28719.66</v>
      </c>
      <c r="DA29" s="26">
        <v>25308</v>
      </c>
      <c r="DB29" s="27">
        <v>28308</v>
      </c>
      <c r="DC29" s="27">
        <v>31308</v>
      </c>
      <c r="DD29" s="27">
        <v>33834</v>
      </c>
      <c r="DE29" s="286">
        <v>30029.69</v>
      </c>
      <c r="DF29" s="26">
        <v>23968</v>
      </c>
      <c r="DG29" s="27">
        <v>26468</v>
      </c>
      <c r="DH29" s="27">
        <v>29342</v>
      </c>
      <c r="DI29" s="28">
        <v>31582</v>
      </c>
      <c r="DJ29" s="26">
        <v>24838</v>
      </c>
      <c r="DK29" s="27">
        <v>27338</v>
      </c>
      <c r="DL29" s="27">
        <v>30212</v>
      </c>
      <c r="DM29" s="28">
        <v>32452</v>
      </c>
      <c r="DN29" s="39">
        <v>33450</v>
      </c>
      <c r="DO29" s="40">
        <v>35450</v>
      </c>
      <c r="DP29" s="40">
        <v>38360</v>
      </c>
      <c r="DQ29" s="40">
        <v>41360</v>
      </c>
      <c r="DR29" s="40">
        <v>43951.59</v>
      </c>
      <c r="DS29" s="40">
        <v>44860</v>
      </c>
      <c r="DT29" s="40">
        <v>48360</v>
      </c>
      <c r="DU29" s="40">
        <v>51360</v>
      </c>
      <c r="DV29" s="40">
        <v>52990</v>
      </c>
      <c r="DW29" s="40">
        <v>55990</v>
      </c>
      <c r="DX29" s="40">
        <v>58990</v>
      </c>
      <c r="DY29" s="40">
        <v>60780</v>
      </c>
      <c r="DZ29" s="40">
        <v>63780</v>
      </c>
      <c r="EA29" s="41">
        <v>66780</v>
      </c>
    </row>
    <row r="30" spans="1:131">
      <c r="A30" s="19">
        <v>27</v>
      </c>
      <c r="B30" s="20">
        <v>20087.98</v>
      </c>
      <c r="C30" s="21">
        <v>21203.47</v>
      </c>
      <c r="D30" s="21">
        <v>23285.77</v>
      </c>
      <c r="E30" s="22">
        <v>24285.77</v>
      </c>
      <c r="F30" s="20">
        <v>23308.720000000001</v>
      </c>
      <c r="G30" s="21">
        <v>24050.69</v>
      </c>
      <c r="H30" s="21">
        <v>26024.41</v>
      </c>
      <c r="I30" s="22">
        <v>27524.41</v>
      </c>
      <c r="J30" s="59">
        <v>23582.95</v>
      </c>
      <c r="K30" s="53">
        <v>24224.41</v>
      </c>
      <c r="L30" s="53">
        <v>25499.23</v>
      </c>
      <c r="M30" s="53">
        <v>26729.31</v>
      </c>
      <c r="N30" s="53">
        <v>28119.22</v>
      </c>
      <c r="O30" s="60">
        <v>28996.880000000001</v>
      </c>
      <c r="P30" s="79">
        <v>17725.05</v>
      </c>
      <c r="Q30" s="79">
        <v>23740.23</v>
      </c>
      <c r="R30" s="79">
        <v>24079.23</v>
      </c>
      <c r="S30" s="79">
        <v>24565.8</v>
      </c>
      <c r="T30" s="79">
        <v>17730.740000000002</v>
      </c>
      <c r="U30" s="79">
        <v>24045.7</v>
      </c>
      <c r="V30" s="79">
        <v>19448.82</v>
      </c>
      <c r="W30" s="79">
        <v>22269.62</v>
      </c>
      <c r="X30" s="20">
        <v>23285.82</v>
      </c>
      <c r="Y30" s="21">
        <v>24797.94</v>
      </c>
      <c r="Z30" s="21">
        <v>25541.58</v>
      </c>
      <c r="AA30" s="21">
        <v>27059</v>
      </c>
      <c r="AB30" s="22">
        <v>28759</v>
      </c>
      <c r="AC30" s="289">
        <v>26285</v>
      </c>
      <c r="AD30" s="290">
        <v>28785</v>
      </c>
      <c r="AE30" s="290">
        <v>30785</v>
      </c>
      <c r="AF30" s="290">
        <v>32785</v>
      </c>
      <c r="AG30" s="291">
        <v>34785</v>
      </c>
      <c r="AH30" s="20">
        <v>28764.25</v>
      </c>
      <c r="AI30" s="21">
        <v>31069.54</v>
      </c>
      <c r="AJ30" s="21">
        <v>31887.69</v>
      </c>
      <c r="AK30" s="21">
        <v>33625.599999999999</v>
      </c>
      <c r="AL30" s="21">
        <v>34577</v>
      </c>
      <c r="AM30" s="21">
        <v>32474.23</v>
      </c>
      <c r="AN30" s="22">
        <v>34457.300000000003</v>
      </c>
      <c r="AO30" s="20">
        <v>31263.01</v>
      </c>
      <c r="AP30" s="21">
        <v>33775.919999999998</v>
      </c>
      <c r="AQ30" s="21">
        <v>34667.51</v>
      </c>
      <c r="AR30" s="21">
        <v>36018.620000000003</v>
      </c>
      <c r="AS30" s="21">
        <v>37018.620000000003</v>
      </c>
      <c r="AT30" s="22">
        <v>35450.949999999997</v>
      </c>
      <c r="AU30" s="20">
        <v>30747.41</v>
      </c>
      <c r="AV30" s="21">
        <v>36448.949999999997</v>
      </c>
      <c r="AW30" s="21">
        <v>40663.03</v>
      </c>
      <c r="AX30" s="21">
        <v>44951.59</v>
      </c>
      <c r="AY30" s="21">
        <v>48141.01</v>
      </c>
      <c r="AZ30" s="21">
        <v>49141</v>
      </c>
      <c r="BA30" s="21">
        <v>52438.09</v>
      </c>
      <c r="BB30" s="21">
        <v>57767.74</v>
      </c>
      <c r="BC30" s="22">
        <v>63345.25</v>
      </c>
      <c r="BD30" s="20">
        <v>39702.74</v>
      </c>
      <c r="BE30" s="21">
        <v>44422.61</v>
      </c>
      <c r="BF30" s="21">
        <v>46588.73</v>
      </c>
      <c r="BG30" s="21">
        <v>51029.599999999999</v>
      </c>
      <c r="BH30" s="21">
        <v>51029.45</v>
      </c>
      <c r="BI30" s="22">
        <v>52466.82</v>
      </c>
      <c r="BJ30" s="75">
        <v>73185.81</v>
      </c>
      <c r="BK30" s="22">
        <v>65508.800000000003</v>
      </c>
      <c r="BL30" s="20">
        <v>13678</v>
      </c>
      <c r="BM30" s="21">
        <v>14672.52</v>
      </c>
      <c r="BN30" s="21">
        <v>15672.52</v>
      </c>
      <c r="BO30" s="22">
        <v>16672.52</v>
      </c>
      <c r="BP30" s="20">
        <v>16536.650000000001</v>
      </c>
      <c r="BQ30" s="21">
        <v>17749.759999999998</v>
      </c>
      <c r="BR30" s="21">
        <v>18807.080000000002</v>
      </c>
      <c r="BS30" s="21">
        <v>20339</v>
      </c>
      <c r="BT30" s="284">
        <v>19102.03</v>
      </c>
      <c r="BU30" s="20">
        <v>17160.810000000001</v>
      </c>
      <c r="BV30" s="21">
        <v>18166.150000000001</v>
      </c>
      <c r="BW30" s="21">
        <v>19770.97</v>
      </c>
      <c r="BX30" s="22">
        <v>23018.06</v>
      </c>
      <c r="BY30" s="20">
        <v>17160.810000000001</v>
      </c>
      <c r="BZ30" s="21">
        <v>18013.400000000001</v>
      </c>
      <c r="CA30" s="21">
        <v>19770.97</v>
      </c>
      <c r="CB30" s="22">
        <v>23018.06</v>
      </c>
      <c r="CC30" s="20">
        <v>22024.41</v>
      </c>
      <c r="CD30" s="21">
        <v>23524.41</v>
      </c>
      <c r="CE30" s="21">
        <v>25024.41</v>
      </c>
      <c r="CF30" s="21">
        <v>26767</v>
      </c>
      <c r="CG30" s="284">
        <v>23833.77</v>
      </c>
      <c r="CH30" s="20">
        <v>22308.720000000001</v>
      </c>
      <c r="CI30" s="21">
        <v>23808.720000000001</v>
      </c>
      <c r="CJ30" s="21">
        <v>25308.720000000001</v>
      </c>
      <c r="CK30" s="21">
        <v>26808.720000000001</v>
      </c>
      <c r="CL30" s="284">
        <v>25919.22</v>
      </c>
      <c r="CM30" s="20">
        <v>23050.69</v>
      </c>
      <c r="CN30" s="21">
        <v>23833.77</v>
      </c>
      <c r="CO30" s="21">
        <v>25919.22</v>
      </c>
      <c r="CP30" s="22">
        <v>26796.880000000001</v>
      </c>
      <c r="CQ30" s="26">
        <v>24593</v>
      </c>
      <c r="CR30" s="27">
        <v>27093</v>
      </c>
      <c r="CS30" s="27">
        <v>29856</v>
      </c>
      <c r="CT30" s="27">
        <v>32096</v>
      </c>
      <c r="CU30" s="284">
        <v>26327.93</v>
      </c>
      <c r="CV30" s="26">
        <v>24593</v>
      </c>
      <c r="CW30" s="27">
        <v>27093</v>
      </c>
      <c r="CX30" s="27">
        <v>29856</v>
      </c>
      <c r="CY30" s="27">
        <v>32096</v>
      </c>
      <c r="CZ30" s="286">
        <v>29343.93</v>
      </c>
      <c r="DA30" s="26">
        <v>25933</v>
      </c>
      <c r="DB30" s="27">
        <v>28933</v>
      </c>
      <c r="DC30" s="27">
        <v>31933</v>
      </c>
      <c r="DD30" s="27">
        <v>34578</v>
      </c>
      <c r="DE30" s="286">
        <v>30709.03</v>
      </c>
      <c r="DF30" s="26">
        <v>24593</v>
      </c>
      <c r="DG30" s="27">
        <v>27093</v>
      </c>
      <c r="DH30" s="27">
        <v>29856</v>
      </c>
      <c r="DI30" s="28">
        <v>32096</v>
      </c>
      <c r="DJ30" s="26">
        <v>25463</v>
      </c>
      <c r="DK30" s="27">
        <v>27963</v>
      </c>
      <c r="DL30" s="27">
        <v>30726</v>
      </c>
      <c r="DM30" s="28">
        <v>32966</v>
      </c>
      <c r="DN30" s="42">
        <v>33895</v>
      </c>
      <c r="DO30" s="43">
        <v>35895</v>
      </c>
      <c r="DP30" s="40">
        <v>38360</v>
      </c>
      <c r="DQ30" s="40">
        <v>41360</v>
      </c>
      <c r="DR30" s="40">
        <v>43951.59</v>
      </c>
      <c r="DS30" s="40">
        <v>44860</v>
      </c>
      <c r="DT30" s="40">
        <v>48360</v>
      </c>
      <c r="DU30" s="40">
        <v>51360</v>
      </c>
      <c r="DV30" s="40">
        <v>52990</v>
      </c>
      <c r="DW30" s="40">
        <v>55990</v>
      </c>
      <c r="DX30" s="40">
        <v>58990</v>
      </c>
      <c r="DY30" s="40">
        <v>60780</v>
      </c>
      <c r="DZ30" s="40">
        <v>63780</v>
      </c>
      <c r="EA30" s="41">
        <v>66780</v>
      </c>
    </row>
    <row r="31" spans="1:131">
      <c r="A31" s="32">
        <v>28</v>
      </c>
      <c r="B31" s="20">
        <v>20087.98</v>
      </c>
      <c r="C31" s="21">
        <v>21203.47</v>
      </c>
      <c r="D31" s="21">
        <v>23285.77</v>
      </c>
      <c r="E31" s="22">
        <v>24285.77</v>
      </c>
      <c r="F31" s="20">
        <v>23308.720000000001</v>
      </c>
      <c r="G31" s="21">
        <v>24050.69</v>
      </c>
      <c r="H31" s="21">
        <v>26024.41</v>
      </c>
      <c r="I31" s="22">
        <v>27524.41</v>
      </c>
      <c r="J31" s="59">
        <v>23582.95</v>
      </c>
      <c r="K31" s="53">
        <v>24224.41</v>
      </c>
      <c r="L31" s="53">
        <v>25499.23</v>
      </c>
      <c r="M31" s="53">
        <v>26729.31</v>
      </c>
      <c r="N31" s="53">
        <v>28119.22</v>
      </c>
      <c r="O31" s="60">
        <v>28996.880000000001</v>
      </c>
      <c r="P31" s="79">
        <v>17725.05</v>
      </c>
      <c r="Q31" s="79">
        <v>23740.23</v>
      </c>
      <c r="R31" s="79">
        <v>24079.23</v>
      </c>
      <c r="S31" s="79">
        <v>24565.8</v>
      </c>
      <c r="T31" s="79">
        <v>17730.740000000002</v>
      </c>
      <c r="U31" s="79">
        <v>24045.7</v>
      </c>
      <c r="V31" s="79">
        <v>19448.82</v>
      </c>
      <c r="W31" s="79">
        <v>22269.62</v>
      </c>
      <c r="X31" s="20">
        <v>23285.82</v>
      </c>
      <c r="Y31" s="21">
        <v>24797.94</v>
      </c>
      <c r="Z31" s="21">
        <v>25541.58</v>
      </c>
      <c r="AA31" s="21">
        <v>27259</v>
      </c>
      <c r="AB31" s="22">
        <v>28959</v>
      </c>
      <c r="AC31" s="289">
        <v>26554</v>
      </c>
      <c r="AD31" s="290">
        <v>29054</v>
      </c>
      <c r="AE31" s="290">
        <v>31054</v>
      </c>
      <c r="AF31" s="290">
        <v>33054</v>
      </c>
      <c r="AG31" s="291">
        <v>35054</v>
      </c>
      <c r="AH31" s="20">
        <v>28764.25</v>
      </c>
      <c r="AI31" s="21">
        <v>31069.54</v>
      </c>
      <c r="AJ31" s="21">
        <v>31887.69</v>
      </c>
      <c r="AK31" s="21">
        <v>33625.599999999999</v>
      </c>
      <c r="AL31" s="21">
        <v>34846</v>
      </c>
      <c r="AM31" s="21">
        <v>32474.23</v>
      </c>
      <c r="AN31" s="22">
        <v>34457.300000000003</v>
      </c>
      <c r="AO31" s="20">
        <v>31263.01</v>
      </c>
      <c r="AP31" s="21">
        <v>33775.919999999998</v>
      </c>
      <c r="AQ31" s="21">
        <v>34667.51</v>
      </c>
      <c r="AR31" s="21">
        <v>36018.620000000003</v>
      </c>
      <c r="AS31" s="21">
        <v>37018.620000000003</v>
      </c>
      <c r="AT31" s="22">
        <v>35451.949999999997</v>
      </c>
      <c r="AU31" s="20">
        <v>30747.41</v>
      </c>
      <c r="AV31" s="21">
        <v>36448.949999999997</v>
      </c>
      <c r="AW31" s="21">
        <v>40663.03</v>
      </c>
      <c r="AX31" s="21">
        <v>44951.59</v>
      </c>
      <c r="AY31" s="34">
        <v>48141.01</v>
      </c>
      <c r="AZ31" s="21">
        <v>49141</v>
      </c>
      <c r="BA31" s="21">
        <v>52438.09</v>
      </c>
      <c r="BB31" s="21">
        <v>59255.11</v>
      </c>
      <c r="BC31" s="22">
        <v>64956.56</v>
      </c>
      <c r="BD31" s="33">
        <v>39702.74</v>
      </c>
      <c r="BE31" s="34">
        <v>44422.61</v>
      </c>
      <c r="BF31" s="34">
        <v>46588.73</v>
      </c>
      <c r="BG31" s="34">
        <v>51029.599999999999</v>
      </c>
      <c r="BH31" s="34">
        <v>51029.45</v>
      </c>
      <c r="BI31" s="35">
        <v>52466.82</v>
      </c>
      <c r="BJ31" s="75">
        <v>73185.81</v>
      </c>
      <c r="BK31" s="22">
        <v>65508.800000000003</v>
      </c>
      <c r="BL31" s="20">
        <v>13705</v>
      </c>
      <c r="BM31" s="21">
        <v>14672.52</v>
      </c>
      <c r="BN31" s="21">
        <v>15672.52</v>
      </c>
      <c r="BO31" s="22">
        <v>16672.52</v>
      </c>
      <c r="BP31" s="20">
        <v>16536.650000000001</v>
      </c>
      <c r="BQ31" s="21">
        <v>17749.759999999998</v>
      </c>
      <c r="BR31" s="21">
        <v>18807.080000000002</v>
      </c>
      <c r="BS31" s="21">
        <v>20460</v>
      </c>
      <c r="BT31" s="284">
        <v>19102.03</v>
      </c>
      <c r="BU31" s="20">
        <v>17160.810000000001</v>
      </c>
      <c r="BV31" s="21">
        <v>18166.150000000001</v>
      </c>
      <c r="BW31" s="21">
        <v>19770.97</v>
      </c>
      <c r="BX31" s="22">
        <v>23018.06</v>
      </c>
      <c r="BY31" s="20">
        <v>17160.810000000001</v>
      </c>
      <c r="BZ31" s="21">
        <v>18013.400000000001</v>
      </c>
      <c r="CA31" s="21">
        <v>19770.97</v>
      </c>
      <c r="CB31" s="22">
        <v>23018.06</v>
      </c>
      <c r="CC31" s="20">
        <v>22024.41</v>
      </c>
      <c r="CD31" s="21">
        <v>23524.41</v>
      </c>
      <c r="CE31" s="21">
        <v>25024.41</v>
      </c>
      <c r="CF31" s="21">
        <v>26967</v>
      </c>
      <c r="CG31" s="284">
        <v>23833.77</v>
      </c>
      <c r="CH31" s="20">
        <v>22308.720000000001</v>
      </c>
      <c r="CI31" s="21">
        <v>23808.720000000001</v>
      </c>
      <c r="CJ31" s="21">
        <v>25308.720000000001</v>
      </c>
      <c r="CK31" s="21">
        <v>26967</v>
      </c>
      <c r="CL31" s="284">
        <v>25919.22</v>
      </c>
      <c r="CM31" s="20">
        <v>23050.69</v>
      </c>
      <c r="CN31" s="21">
        <v>23833.77</v>
      </c>
      <c r="CO31" s="21">
        <v>25919.22</v>
      </c>
      <c r="CP31" s="22">
        <v>26967</v>
      </c>
      <c r="CQ31" s="26">
        <v>24593</v>
      </c>
      <c r="CR31" s="27">
        <v>27093</v>
      </c>
      <c r="CS31" s="27">
        <v>29856</v>
      </c>
      <c r="CT31" s="27">
        <v>32096</v>
      </c>
      <c r="CU31" s="284">
        <v>26327.93</v>
      </c>
      <c r="CV31" s="26">
        <v>24593</v>
      </c>
      <c r="CW31" s="27">
        <v>27093</v>
      </c>
      <c r="CX31" s="27">
        <v>29856</v>
      </c>
      <c r="CY31" s="27">
        <v>32096</v>
      </c>
      <c r="CZ31" s="286">
        <v>29343.93</v>
      </c>
      <c r="DA31" s="26">
        <v>25933</v>
      </c>
      <c r="DB31" s="27">
        <v>28933</v>
      </c>
      <c r="DC31" s="27">
        <v>31933</v>
      </c>
      <c r="DD31" s="27">
        <v>34578</v>
      </c>
      <c r="DE31" s="286">
        <v>30709.03</v>
      </c>
      <c r="DF31" s="26">
        <v>24593</v>
      </c>
      <c r="DG31" s="27">
        <v>27093</v>
      </c>
      <c r="DH31" s="27">
        <v>29856</v>
      </c>
      <c r="DI31" s="28">
        <v>32096</v>
      </c>
      <c r="DJ31" s="26">
        <v>25463</v>
      </c>
      <c r="DK31" s="27">
        <v>27963</v>
      </c>
      <c r="DL31" s="27">
        <v>30726</v>
      </c>
      <c r="DM31" s="28">
        <v>32966</v>
      </c>
      <c r="DN31" s="49">
        <v>33895</v>
      </c>
      <c r="DO31" s="50">
        <v>35895</v>
      </c>
      <c r="DP31" s="51">
        <v>38360</v>
      </c>
      <c r="DQ31" s="51">
        <v>41360</v>
      </c>
      <c r="DR31" s="51">
        <v>43951.59</v>
      </c>
      <c r="DS31" s="51">
        <v>44860</v>
      </c>
      <c r="DT31" s="51">
        <v>48360</v>
      </c>
      <c r="DU31" s="51">
        <v>51360</v>
      </c>
      <c r="DV31" s="51">
        <v>52990</v>
      </c>
      <c r="DW31" s="51">
        <v>55990</v>
      </c>
      <c r="DX31" s="51">
        <v>58990</v>
      </c>
      <c r="DY31" s="51">
        <v>60780</v>
      </c>
      <c r="DZ31" s="51">
        <v>63780</v>
      </c>
      <c r="EA31" s="52">
        <v>66780</v>
      </c>
    </row>
    <row r="32" spans="1:131">
      <c r="A32" s="55">
        <v>29</v>
      </c>
      <c r="B32" s="20">
        <v>20087.98</v>
      </c>
      <c r="C32" s="21">
        <v>21203.47</v>
      </c>
      <c r="D32" s="21">
        <v>23285.77</v>
      </c>
      <c r="E32" s="22">
        <v>24285.77</v>
      </c>
      <c r="F32" s="20">
        <v>23932.33</v>
      </c>
      <c r="G32" s="21">
        <v>24585.82</v>
      </c>
      <c r="H32" s="21">
        <v>26648.02</v>
      </c>
      <c r="I32" s="22">
        <v>27921.360000000001</v>
      </c>
      <c r="J32" s="59">
        <v>24206.560000000001</v>
      </c>
      <c r="K32" s="53">
        <v>24848.02</v>
      </c>
      <c r="L32" s="53">
        <v>25855.57</v>
      </c>
      <c r="M32" s="53">
        <v>27085.65</v>
      </c>
      <c r="N32" s="53">
        <v>28742.83</v>
      </c>
      <c r="O32" s="60">
        <v>29620.49</v>
      </c>
      <c r="P32" s="79">
        <v>17725.05</v>
      </c>
      <c r="Q32" s="79">
        <v>23740.23</v>
      </c>
      <c r="R32" s="79">
        <v>24079.23</v>
      </c>
      <c r="S32" s="79">
        <v>24565.8</v>
      </c>
      <c r="T32" s="79">
        <v>17730.740000000002</v>
      </c>
      <c r="U32" s="79">
        <v>24045.7</v>
      </c>
      <c r="V32" s="79">
        <v>19448.82</v>
      </c>
      <c r="W32" s="79">
        <v>22269.62</v>
      </c>
      <c r="X32" s="20">
        <v>23285.82</v>
      </c>
      <c r="Y32" s="21">
        <v>24797.94</v>
      </c>
      <c r="Z32" s="21">
        <v>25541.58</v>
      </c>
      <c r="AA32" s="21">
        <v>27459</v>
      </c>
      <c r="AB32" s="22">
        <v>29159</v>
      </c>
      <c r="AC32" s="289">
        <v>26824</v>
      </c>
      <c r="AD32" s="290">
        <v>29324</v>
      </c>
      <c r="AE32" s="290">
        <v>31324</v>
      </c>
      <c r="AF32" s="290">
        <v>33324</v>
      </c>
      <c r="AG32" s="291">
        <v>35324</v>
      </c>
      <c r="AH32" s="20">
        <v>28764.25</v>
      </c>
      <c r="AI32" s="21">
        <v>31069.54</v>
      </c>
      <c r="AJ32" s="21">
        <v>31887.69</v>
      </c>
      <c r="AK32" s="21">
        <v>34124</v>
      </c>
      <c r="AL32" s="21">
        <v>35116</v>
      </c>
      <c r="AM32" s="21">
        <v>32474.23</v>
      </c>
      <c r="AN32" s="22">
        <v>34457.300000000003</v>
      </c>
      <c r="AO32" s="20">
        <v>31263.01</v>
      </c>
      <c r="AP32" s="21">
        <v>33775.919999999998</v>
      </c>
      <c r="AQ32" s="21">
        <v>34667.51</v>
      </c>
      <c r="AR32" s="21">
        <v>36018.620000000003</v>
      </c>
      <c r="AS32" s="21">
        <v>37018.620000000003</v>
      </c>
      <c r="AT32" s="22">
        <v>35452.949999999997</v>
      </c>
      <c r="AU32" s="20">
        <v>30747.41</v>
      </c>
      <c r="AV32" s="21">
        <v>36448.949999999997</v>
      </c>
      <c r="AW32" s="21">
        <v>40663.03</v>
      </c>
      <c r="AX32" s="21">
        <v>44951.59</v>
      </c>
      <c r="AY32" s="21">
        <v>48141.01</v>
      </c>
      <c r="AZ32" s="21">
        <v>49141</v>
      </c>
      <c r="BA32" s="21">
        <v>52438.09</v>
      </c>
      <c r="BB32" s="21">
        <v>59255.11</v>
      </c>
      <c r="BC32" s="22">
        <v>64956.56</v>
      </c>
      <c r="BD32" s="57">
        <v>39702.74</v>
      </c>
      <c r="BE32" s="21">
        <v>44422.61</v>
      </c>
      <c r="BF32" s="21">
        <v>46588.73</v>
      </c>
      <c r="BG32" s="21">
        <v>51029.599999999999</v>
      </c>
      <c r="BH32" s="21">
        <v>51029.45</v>
      </c>
      <c r="BI32" s="22">
        <v>52466.82</v>
      </c>
      <c r="BJ32" s="75">
        <v>73185.81</v>
      </c>
      <c r="BK32" s="22">
        <v>65508.800000000003</v>
      </c>
      <c r="BL32" s="20">
        <v>13732</v>
      </c>
      <c r="BM32" s="21">
        <v>14672.52</v>
      </c>
      <c r="BN32" s="21">
        <v>15672.52</v>
      </c>
      <c r="BO32" s="22">
        <v>16672.52</v>
      </c>
      <c r="BP32" s="20">
        <v>16860.759999999998</v>
      </c>
      <c r="BQ32" s="21">
        <v>18098.810000000001</v>
      </c>
      <c r="BR32" s="21">
        <v>19505.18</v>
      </c>
      <c r="BS32" s="21">
        <v>20582</v>
      </c>
      <c r="BT32" s="284">
        <v>19800.13</v>
      </c>
      <c r="BU32" s="20">
        <v>17509.86</v>
      </c>
      <c r="BV32" s="21">
        <v>18515.2</v>
      </c>
      <c r="BW32" s="21">
        <v>20469.07</v>
      </c>
      <c r="BX32" s="22">
        <v>23724.12</v>
      </c>
      <c r="BY32" s="20">
        <v>17509.86</v>
      </c>
      <c r="BZ32" s="21">
        <v>18362.45</v>
      </c>
      <c r="CA32" s="21">
        <v>20469.07</v>
      </c>
      <c r="CB32" s="22">
        <v>23724.12</v>
      </c>
      <c r="CC32" s="20">
        <v>22648.02</v>
      </c>
      <c r="CD32" s="21">
        <v>24148.02</v>
      </c>
      <c r="CE32" s="21">
        <v>25648.02</v>
      </c>
      <c r="CF32" s="21">
        <v>27167</v>
      </c>
      <c r="CG32" s="284">
        <v>24457.38</v>
      </c>
      <c r="CH32" s="20">
        <v>22932.33</v>
      </c>
      <c r="CI32" s="21">
        <v>24432.33</v>
      </c>
      <c r="CJ32" s="21">
        <v>25932.33</v>
      </c>
      <c r="CK32" s="21">
        <v>28055.94</v>
      </c>
      <c r="CL32" s="284">
        <v>27166.44</v>
      </c>
      <c r="CM32" s="20">
        <v>23585.82</v>
      </c>
      <c r="CN32" s="21">
        <v>24457.38</v>
      </c>
      <c r="CO32" s="21">
        <v>27166.44</v>
      </c>
      <c r="CP32" s="22">
        <v>28044.1</v>
      </c>
      <c r="CQ32" s="26">
        <v>25218</v>
      </c>
      <c r="CR32" s="27">
        <v>27718</v>
      </c>
      <c r="CS32" s="27">
        <v>30884</v>
      </c>
      <c r="CT32" s="27">
        <v>33124</v>
      </c>
      <c r="CU32" s="284">
        <v>27576.47</v>
      </c>
      <c r="CV32" s="26">
        <v>25218</v>
      </c>
      <c r="CW32" s="27">
        <v>27999.93</v>
      </c>
      <c r="CX32" s="27">
        <v>31046.92</v>
      </c>
      <c r="CY32" s="27">
        <v>33124</v>
      </c>
      <c r="CZ32" s="286">
        <v>30592.47</v>
      </c>
      <c r="DA32" s="26">
        <v>26558</v>
      </c>
      <c r="DB32" s="27">
        <v>29558</v>
      </c>
      <c r="DC32" s="27">
        <v>32558</v>
      </c>
      <c r="DD32" s="27">
        <v>35888.620000000003</v>
      </c>
      <c r="DE32" s="286">
        <v>32067.71</v>
      </c>
      <c r="DF32" s="26">
        <v>25218</v>
      </c>
      <c r="DG32" s="27">
        <v>27718</v>
      </c>
      <c r="DH32" s="27">
        <v>30884</v>
      </c>
      <c r="DI32" s="28">
        <v>33124</v>
      </c>
      <c r="DJ32" s="26">
        <v>26088</v>
      </c>
      <c r="DK32" s="27">
        <v>28588</v>
      </c>
      <c r="DL32" s="27">
        <v>31754</v>
      </c>
      <c r="DM32" s="28">
        <v>33994</v>
      </c>
      <c r="DN32" s="63">
        <v>33895</v>
      </c>
      <c r="DO32" s="43">
        <v>35895</v>
      </c>
      <c r="DP32" s="40">
        <v>38360</v>
      </c>
      <c r="DQ32" s="40">
        <v>41360</v>
      </c>
      <c r="DR32" s="40">
        <v>43951.59</v>
      </c>
      <c r="DS32" s="40">
        <v>44860</v>
      </c>
      <c r="DT32" s="40">
        <v>48360</v>
      </c>
      <c r="DU32" s="40">
        <v>51360</v>
      </c>
      <c r="DV32" s="40">
        <v>52990</v>
      </c>
      <c r="DW32" s="40">
        <v>55990</v>
      </c>
      <c r="DX32" s="40">
        <v>58990</v>
      </c>
      <c r="DY32" s="40">
        <v>60780</v>
      </c>
      <c r="DZ32" s="40">
        <v>63780</v>
      </c>
      <c r="EA32" s="41">
        <v>66780</v>
      </c>
    </row>
    <row r="33" spans="1:131">
      <c r="A33" s="55">
        <v>30</v>
      </c>
      <c r="B33" s="20">
        <v>20087.98</v>
      </c>
      <c r="C33" s="21">
        <v>21203.47</v>
      </c>
      <c r="D33" s="21">
        <v>23285.77</v>
      </c>
      <c r="E33" s="22">
        <v>24285.77</v>
      </c>
      <c r="F33" s="20">
        <v>23932.33</v>
      </c>
      <c r="G33" s="21">
        <v>24585.82</v>
      </c>
      <c r="H33" s="21">
        <v>26648.02</v>
      </c>
      <c r="I33" s="22">
        <v>27921.360000000001</v>
      </c>
      <c r="J33" s="59">
        <v>24206.560000000001</v>
      </c>
      <c r="K33" s="53">
        <v>24848.02</v>
      </c>
      <c r="L33" s="53">
        <v>25855.57</v>
      </c>
      <c r="M33" s="53">
        <v>27085.65</v>
      </c>
      <c r="N33" s="53">
        <v>28742.83</v>
      </c>
      <c r="O33" s="60">
        <v>29620.49</v>
      </c>
      <c r="P33" s="79">
        <v>17725.05</v>
      </c>
      <c r="Q33" s="79">
        <v>23740.23</v>
      </c>
      <c r="R33" s="79">
        <v>24079.23</v>
      </c>
      <c r="S33" s="79">
        <v>24565.8</v>
      </c>
      <c r="T33" s="79">
        <v>17730.740000000002</v>
      </c>
      <c r="U33" s="79">
        <v>24045.7</v>
      </c>
      <c r="V33" s="79">
        <v>19448.82</v>
      </c>
      <c r="W33" s="79">
        <v>22269.62</v>
      </c>
      <c r="X33" s="20">
        <v>23285.82</v>
      </c>
      <c r="Y33" s="21">
        <v>24797.94</v>
      </c>
      <c r="Z33" s="21">
        <v>25541.58</v>
      </c>
      <c r="AA33" s="21">
        <v>27459</v>
      </c>
      <c r="AB33" s="22">
        <v>29159</v>
      </c>
      <c r="AC33" s="20">
        <f>AC32</f>
        <v>26824</v>
      </c>
      <c r="AD33" s="21">
        <f t="shared" ref="AD33:AG34" si="2">AD32</f>
        <v>29324</v>
      </c>
      <c r="AE33" s="21">
        <f t="shared" si="2"/>
        <v>31324</v>
      </c>
      <c r="AF33" s="21">
        <f t="shared" si="2"/>
        <v>33324</v>
      </c>
      <c r="AG33" s="22">
        <f t="shared" si="2"/>
        <v>35324</v>
      </c>
      <c r="AH33" s="20">
        <v>28764.25</v>
      </c>
      <c r="AI33" s="21">
        <v>31069.54</v>
      </c>
      <c r="AJ33" s="21">
        <v>31887.69</v>
      </c>
      <c r="AK33" s="21">
        <v>34124</v>
      </c>
      <c r="AL33" s="21">
        <v>35116</v>
      </c>
      <c r="AM33" s="21">
        <v>32474.23</v>
      </c>
      <c r="AN33" s="22">
        <v>34457.300000000003</v>
      </c>
      <c r="AO33" s="20">
        <v>31263.01</v>
      </c>
      <c r="AP33" s="21">
        <v>33775.919999999998</v>
      </c>
      <c r="AQ33" s="21">
        <v>34667.51</v>
      </c>
      <c r="AR33" s="21">
        <v>36018.620000000003</v>
      </c>
      <c r="AS33" s="21">
        <v>37018.620000000003</v>
      </c>
      <c r="AT33" s="22">
        <v>35452.949999999997</v>
      </c>
      <c r="AU33" s="20">
        <v>30747.41</v>
      </c>
      <c r="AV33" s="21">
        <v>36448.949999999997</v>
      </c>
      <c r="AW33" s="21">
        <v>40663.03</v>
      </c>
      <c r="AX33" s="21">
        <v>44951.59</v>
      </c>
      <c r="AY33" s="21">
        <v>48141.01</v>
      </c>
      <c r="AZ33" s="21">
        <v>49141</v>
      </c>
      <c r="BA33" s="21">
        <v>52438.09</v>
      </c>
      <c r="BB33" s="21">
        <v>59255.11</v>
      </c>
      <c r="BC33" s="22">
        <v>64956.56</v>
      </c>
      <c r="BD33" s="57">
        <v>39702.74</v>
      </c>
      <c r="BE33" s="21">
        <v>44422.61</v>
      </c>
      <c r="BF33" s="21">
        <v>46588.73</v>
      </c>
      <c r="BG33" s="21">
        <v>51029.599999999999</v>
      </c>
      <c r="BH33" s="21">
        <v>51029.45</v>
      </c>
      <c r="BI33" s="22">
        <v>52466.82</v>
      </c>
      <c r="BJ33" s="75">
        <v>73185.81</v>
      </c>
      <c r="BK33" s="22">
        <v>65508.800000000003</v>
      </c>
      <c r="BL33" s="20">
        <v>13732</v>
      </c>
      <c r="BM33" s="21">
        <v>14672.52</v>
      </c>
      <c r="BN33" s="21">
        <v>15672.52</v>
      </c>
      <c r="BO33" s="22">
        <v>16672.52</v>
      </c>
      <c r="BP33" s="20">
        <v>16860.759999999998</v>
      </c>
      <c r="BQ33" s="21">
        <v>18098.810000000001</v>
      </c>
      <c r="BR33" s="21">
        <v>19505.18</v>
      </c>
      <c r="BS33" s="21">
        <v>20582</v>
      </c>
      <c r="BT33" s="284">
        <v>19800.13</v>
      </c>
      <c r="BU33" s="20">
        <v>17509.86</v>
      </c>
      <c r="BV33" s="21">
        <v>18515.2</v>
      </c>
      <c r="BW33" s="21">
        <v>20469.07</v>
      </c>
      <c r="BX33" s="22">
        <v>23724.12</v>
      </c>
      <c r="BY33" s="20">
        <v>17509.86</v>
      </c>
      <c r="BZ33" s="21">
        <v>18362.45</v>
      </c>
      <c r="CA33" s="21">
        <v>20469.07</v>
      </c>
      <c r="CB33" s="22">
        <v>23724.12</v>
      </c>
      <c r="CC33" s="20">
        <v>22648.02</v>
      </c>
      <c r="CD33" s="21">
        <v>24148.02</v>
      </c>
      <c r="CE33" s="21">
        <v>25648.02</v>
      </c>
      <c r="CF33" s="21">
        <v>27167</v>
      </c>
      <c r="CG33" s="284">
        <v>24457.38</v>
      </c>
      <c r="CH33" s="20">
        <v>22932.33</v>
      </c>
      <c r="CI33" s="21">
        <v>24432.33</v>
      </c>
      <c r="CJ33" s="21">
        <v>25932.33</v>
      </c>
      <c r="CK33" s="21">
        <v>28055.94</v>
      </c>
      <c r="CL33" s="284">
        <v>27166.44</v>
      </c>
      <c r="CM33" s="20">
        <v>23585.82</v>
      </c>
      <c r="CN33" s="21">
        <v>24457.38</v>
      </c>
      <c r="CO33" s="21">
        <v>27166.44</v>
      </c>
      <c r="CP33" s="22">
        <v>28044.1</v>
      </c>
      <c r="CQ33" s="26">
        <v>25218</v>
      </c>
      <c r="CR33" s="27">
        <v>27718</v>
      </c>
      <c r="CS33" s="27">
        <v>30884</v>
      </c>
      <c r="CT33" s="27">
        <v>33124</v>
      </c>
      <c r="CU33" s="284">
        <v>27576.47</v>
      </c>
      <c r="CV33" s="26">
        <v>25218</v>
      </c>
      <c r="CW33" s="27">
        <v>27999.93</v>
      </c>
      <c r="CX33" s="27">
        <v>31046.92</v>
      </c>
      <c r="CY33" s="27">
        <v>33124</v>
      </c>
      <c r="CZ33" s="286">
        <v>30592.47</v>
      </c>
      <c r="DA33" s="26">
        <v>26558</v>
      </c>
      <c r="DB33" s="27">
        <v>29558</v>
      </c>
      <c r="DC33" s="27">
        <v>32558</v>
      </c>
      <c r="DD33" s="27">
        <v>35888.620000000003</v>
      </c>
      <c r="DE33" s="286">
        <v>32067.71</v>
      </c>
      <c r="DF33" s="26">
        <v>25218</v>
      </c>
      <c r="DG33" s="27">
        <v>27718</v>
      </c>
      <c r="DH33" s="27">
        <v>30884</v>
      </c>
      <c r="DI33" s="28">
        <v>33124</v>
      </c>
      <c r="DJ33" s="26">
        <v>26088</v>
      </c>
      <c r="DK33" s="27">
        <v>28588</v>
      </c>
      <c r="DL33" s="27">
        <v>31754</v>
      </c>
      <c r="DM33" s="28">
        <v>33994</v>
      </c>
      <c r="DN33" s="63">
        <v>33895</v>
      </c>
      <c r="DO33" s="43">
        <v>35895</v>
      </c>
      <c r="DP33" s="40">
        <v>38360</v>
      </c>
      <c r="DQ33" s="40">
        <v>41360</v>
      </c>
      <c r="DR33" s="40">
        <v>43951.59</v>
      </c>
      <c r="DS33" s="40">
        <v>44860</v>
      </c>
      <c r="DT33" s="40">
        <v>48360</v>
      </c>
      <c r="DU33" s="40">
        <v>51360</v>
      </c>
      <c r="DV33" s="40">
        <v>52990</v>
      </c>
      <c r="DW33" s="40">
        <v>55990</v>
      </c>
      <c r="DX33" s="40">
        <v>58990</v>
      </c>
      <c r="DY33" s="40">
        <v>60780</v>
      </c>
      <c r="DZ33" s="40">
        <v>63780</v>
      </c>
      <c r="EA33" s="41">
        <v>66780</v>
      </c>
    </row>
    <row r="34" spans="1:131" ht="15" thickBot="1">
      <c r="A34" s="56">
        <v>31</v>
      </c>
      <c r="B34" s="23">
        <v>20087.98</v>
      </c>
      <c r="C34" s="24">
        <v>21203.47</v>
      </c>
      <c r="D34" s="24">
        <v>23285.77</v>
      </c>
      <c r="E34" s="25">
        <v>24285.77</v>
      </c>
      <c r="F34" s="23">
        <v>23932.33</v>
      </c>
      <c r="G34" s="24">
        <v>24585.82</v>
      </c>
      <c r="H34" s="24">
        <v>26648.02</v>
      </c>
      <c r="I34" s="25">
        <v>27921.360000000001</v>
      </c>
      <c r="J34" s="61">
        <v>24206.560000000001</v>
      </c>
      <c r="K34" s="54">
        <v>24848.02</v>
      </c>
      <c r="L34" s="54">
        <v>26211.91</v>
      </c>
      <c r="M34" s="54">
        <v>27441.99</v>
      </c>
      <c r="N34" s="54">
        <v>29366.44</v>
      </c>
      <c r="O34" s="62">
        <v>30244.1</v>
      </c>
      <c r="P34" s="81">
        <v>17725.05</v>
      </c>
      <c r="Q34" s="80">
        <v>23740.23</v>
      </c>
      <c r="R34" s="80">
        <v>24079.23</v>
      </c>
      <c r="S34" s="80">
        <v>24565.8</v>
      </c>
      <c r="T34" s="80">
        <v>17730.740000000002</v>
      </c>
      <c r="U34" s="80">
        <v>24045.7</v>
      </c>
      <c r="V34" s="80">
        <v>19448.82</v>
      </c>
      <c r="W34" s="82">
        <v>22269.62</v>
      </c>
      <c r="X34" s="23">
        <v>23285.82</v>
      </c>
      <c r="Y34" s="24">
        <v>24797.94</v>
      </c>
      <c r="Z34" s="24">
        <v>25541.58</v>
      </c>
      <c r="AA34" s="24">
        <v>27459</v>
      </c>
      <c r="AB34" s="25">
        <v>29159</v>
      </c>
      <c r="AC34" s="23">
        <f>AC33</f>
        <v>26824</v>
      </c>
      <c r="AD34" s="24">
        <f t="shared" si="2"/>
        <v>29324</v>
      </c>
      <c r="AE34" s="24">
        <f t="shared" si="2"/>
        <v>31324</v>
      </c>
      <c r="AF34" s="24">
        <f t="shared" si="2"/>
        <v>33324</v>
      </c>
      <c r="AG34" s="25">
        <f t="shared" si="2"/>
        <v>35324</v>
      </c>
      <c r="AH34" s="23">
        <v>28764.25</v>
      </c>
      <c r="AI34" s="24">
        <v>31069.54</v>
      </c>
      <c r="AJ34" s="24">
        <v>31887.69</v>
      </c>
      <c r="AK34" s="24">
        <v>34124</v>
      </c>
      <c r="AL34" s="24">
        <v>35116</v>
      </c>
      <c r="AM34" s="24">
        <v>32474.23</v>
      </c>
      <c r="AN34" s="25">
        <v>34457.300000000003</v>
      </c>
      <c r="AO34" s="23">
        <v>31263.01</v>
      </c>
      <c r="AP34" s="24">
        <v>33775.919999999998</v>
      </c>
      <c r="AQ34" s="24">
        <v>34667.51</v>
      </c>
      <c r="AR34" s="24">
        <v>36018.620000000003</v>
      </c>
      <c r="AS34" s="24">
        <v>37018.620000000003</v>
      </c>
      <c r="AT34" s="25">
        <v>35452.949999999997</v>
      </c>
      <c r="AU34" s="23">
        <v>30747.41</v>
      </c>
      <c r="AV34" s="24">
        <v>36448.949999999997</v>
      </c>
      <c r="AW34" s="24">
        <v>40663.03</v>
      </c>
      <c r="AX34" s="24">
        <v>44951.59</v>
      </c>
      <c r="AY34" s="24">
        <v>48141.01</v>
      </c>
      <c r="AZ34" s="24">
        <v>49141</v>
      </c>
      <c r="BA34" s="24">
        <v>52438.09</v>
      </c>
      <c r="BB34" s="24">
        <v>59255.11</v>
      </c>
      <c r="BC34" s="25">
        <v>64956.56</v>
      </c>
      <c r="BD34" s="58">
        <v>39702.74</v>
      </c>
      <c r="BE34" s="24">
        <v>44422.61</v>
      </c>
      <c r="BF34" s="24">
        <v>46588.73</v>
      </c>
      <c r="BG34" s="24">
        <v>51029.599999999999</v>
      </c>
      <c r="BH34" s="24">
        <v>51029.45</v>
      </c>
      <c r="BI34" s="25">
        <v>52466.82</v>
      </c>
      <c r="BJ34" s="76">
        <v>73185.81</v>
      </c>
      <c r="BK34" s="25">
        <v>65508.800000000003</v>
      </c>
      <c r="BL34" s="23">
        <v>13732</v>
      </c>
      <c r="BM34" s="24">
        <v>14672.52</v>
      </c>
      <c r="BN34" s="24">
        <v>15672.52</v>
      </c>
      <c r="BO34" s="25">
        <v>16672.52</v>
      </c>
      <c r="BP34" s="23">
        <v>16860.759999999998</v>
      </c>
      <c r="BQ34" s="24">
        <v>18098.810000000001</v>
      </c>
      <c r="BR34" s="24">
        <v>19505.18</v>
      </c>
      <c r="BS34" s="24">
        <v>20582</v>
      </c>
      <c r="BT34" s="285">
        <v>19800.13</v>
      </c>
      <c r="BU34" s="23">
        <v>17509.86</v>
      </c>
      <c r="BV34" s="24">
        <v>18515.2</v>
      </c>
      <c r="BW34" s="24">
        <v>20469.07</v>
      </c>
      <c r="BX34" s="25">
        <v>23724.12</v>
      </c>
      <c r="BY34" s="23">
        <v>17509.86</v>
      </c>
      <c r="BZ34" s="24">
        <v>18362.45</v>
      </c>
      <c r="CA34" s="24">
        <v>20469.07</v>
      </c>
      <c r="CB34" s="25">
        <v>23724.12</v>
      </c>
      <c r="CC34" s="23">
        <v>22648.02</v>
      </c>
      <c r="CD34" s="24">
        <v>24148.02</v>
      </c>
      <c r="CE34" s="24">
        <v>25648.02</v>
      </c>
      <c r="CF34" s="24">
        <v>27167</v>
      </c>
      <c r="CG34" s="285">
        <v>24457.38</v>
      </c>
      <c r="CH34" s="23">
        <v>22932.33</v>
      </c>
      <c r="CI34" s="24">
        <v>24432.33</v>
      </c>
      <c r="CJ34" s="24">
        <v>25932.33</v>
      </c>
      <c r="CK34" s="24">
        <v>28055.94</v>
      </c>
      <c r="CL34" s="285">
        <v>27166.44</v>
      </c>
      <c r="CM34" s="23">
        <v>23585.82</v>
      </c>
      <c r="CN34" s="24">
        <v>24457.38</v>
      </c>
      <c r="CO34" s="24">
        <v>27166.44</v>
      </c>
      <c r="CP34" s="25">
        <v>28044.1</v>
      </c>
      <c r="CQ34" s="298">
        <v>25218</v>
      </c>
      <c r="CR34" s="29">
        <v>27718</v>
      </c>
      <c r="CS34" s="29">
        <v>30884</v>
      </c>
      <c r="CT34" s="29">
        <v>33124</v>
      </c>
      <c r="CU34" s="285">
        <v>27576.47</v>
      </c>
      <c r="CV34" s="298">
        <v>25218</v>
      </c>
      <c r="CW34" s="29">
        <v>27999.93</v>
      </c>
      <c r="CX34" s="29">
        <v>31046.92</v>
      </c>
      <c r="CY34" s="29">
        <v>33124</v>
      </c>
      <c r="CZ34" s="287">
        <v>30592.47</v>
      </c>
      <c r="DA34" s="298">
        <v>26558</v>
      </c>
      <c r="DB34" s="29">
        <v>29558</v>
      </c>
      <c r="DC34" s="29">
        <v>32558</v>
      </c>
      <c r="DD34" s="29">
        <v>35888.620000000003</v>
      </c>
      <c r="DE34" s="287">
        <v>32067.71</v>
      </c>
      <c r="DF34" s="298">
        <v>25218</v>
      </c>
      <c r="DG34" s="29">
        <v>27718</v>
      </c>
      <c r="DH34" s="29">
        <v>30884</v>
      </c>
      <c r="DI34" s="30">
        <v>33124</v>
      </c>
      <c r="DJ34" s="298">
        <v>26088</v>
      </c>
      <c r="DK34" s="29">
        <v>28588</v>
      </c>
      <c r="DL34" s="29">
        <v>31754</v>
      </c>
      <c r="DM34" s="30">
        <v>33994</v>
      </c>
      <c r="DN34" s="64">
        <v>33895</v>
      </c>
      <c r="DO34" s="47">
        <v>35895</v>
      </c>
      <c r="DP34" s="45">
        <v>38360</v>
      </c>
      <c r="DQ34" s="45">
        <v>41360</v>
      </c>
      <c r="DR34" s="45">
        <v>43951.59</v>
      </c>
      <c r="DS34" s="45">
        <v>44860</v>
      </c>
      <c r="DT34" s="45">
        <v>48360</v>
      </c>
      <c r="DU34" s="45">
        <v>51360</v>
      </c>
      <c r="DV34" s="45">
        <v>52990</v>
      </c>
      <c r="DW34" s="45">
        <v>55990</v>
      </c>
      <c r="DX34" s="45">
        <v>58990</v>
      </c>
      <c r="DY34" s="45">
        <v>60780</v>
      </c>
      <c r="DZ34" s="45">
        <v>63780</v>
      </c>
      <c r="EA34" s="46">
        <v>66780</v>
      </c>
    </row>
    <row r="35" spans="1:131">
      <c r="A35" s="91">
        <v>0</v>
      </c>
      <c r="B35" s="5" t="str">
        <f>B2</f>
        <v>HAU1</v>
      </c>
      <c r="C35" s="5" t="str">
        <f t="shared" ref="C35:CD35" si="3">C2</f>
        <v>HAU2</v>
      </c>
      <c r="D35" s="5" t="str">
        <f t="shared" si="3"/>
        <v>HAU3</v>
      </c>
      <c r="E35" s="5" t="str">
        <f t="shared" si="3"/>
        <v>HAU4</v>
      </c>
      <c r="F35" s="5" t="str">
        <f t="shared" si="3"/>
        <v>BASP1</v>
      </c>
      <c r="G35" s="5" t="str">
        <f t="shared" si="3"/>
        <v>BASP2</v>
      </c>
      <c r="H35" s="5" t="str">
        <f t="shared" si="3"/>
        <v>BASP3</v>
      </c>
      <c r="I35" s="5" t="str">
        <f t="shared" si="3"/>
        <v>BASP4</v>
      </c>
      <c r="J35" s="5" t="str">
        <f t="shared" si="3"/>
        <v>CSV1</v>
      </c>
      <c r="K35" s="5" t="str">
        <f t="shared" si="3"/>
        <v>CSV2</v>
      </c>
      <c r="L35" s="5" t="str">
        <f t="shared" si="3"/>
        <v>CSV3</v>
      </c>
      <c r="M35" s="5" t="str">
        <f t="shared" si="3"/>
        <v>CSV4</v>
      </c>
      <c r="N35" s="5" t="str">
        <f t="shared" si="3"/>
        <v>CSV5</v>
      </c>
      <c r="O35" s="5" t="str">
        <f t="shared" si="3"/>
        <v>CSV6</v>
      </c>
      <c r="P35" s="5" t="str">
        <f t="shared" si="3"/>
        <v>BAC1</v>
      </c>
      <c r="Q35" s="5" t="str">
        <f t="shared" si="3"/>
        <v>BAC2</v>
      </c>
      <c r="R35" s="5" t="str">
        <f t="shared" si="3"/>
        <v>BAC3</v>
      </c>
      <c r="S35" s="5" t="str">
        <f t="shared" si="3"/>
        <v>BAC4</v>
      </c>
      <c r="T35" s="5" t="str">
        <f t="shared" si="3"/>
        <v>BAC5</v>
      </c>
      <c r="U35" s="5" t="str">
        <f t="shared" si="3"/>
        <v>BAC6</v>
      </c>
      <c r="V35" s="5" t="str">
        <f t="shared" si="3"/>
        <v>BAC7</v>
      </c>
      <c r="W35" s="5" t="str">
        <f t="shared" si="3"/>
        <v>BAC8</v>
      </c>
      <c r="X35" s="5" t="str">
        <f t="shared" si="3"/>
        <v>B1</v>
      </c>
      <c r="Y35" s="5" t="str">
        <f t="shared" si="3"/>
        <v>B2</v>
      </c>
      <c r="Z35" s="5" t="str">
        <f t="shared" si="3"/>
        <v>B3</v>
      </c>
      <c r="AA35" s="5" t="str">
        <f t="shared" si="3"/>
        <v>B4</v>
      </c>
      <c r="AB35" s="5" t="str">
        <f t="shared" si="3"/>
        <v>B5</v>
      </c>
      <c r="AC35" s="31" t="s">
        <v>601</v>
      </c>
      <c r="AD35" s="31" t="s">
        <v>597</v>
      </c>
      <c r="AE35" s="31" t="s">
        <v>598</v>
      </c>
      <c r="AF35" s="31" t="s">
        <v>599</v>
      </c>
      <c r="AG35" s="31" t="s">
        <v>600</v>
      </c>
      <c r="AH35" s="5" t="str">
        <f t="shared" si="3"/>
        <v>M1.1</v>
      </c>
      <c r="AI35" s="5" t="str">
        <f t="shared" si="3"/>
        <v>M2.1</v>
      </c>
      <c r="AJ35" s="5" t="str">
        <f t="shared" si="3"/>
        <v>M3.1</v>
      </c>
      <c r="AK35" s="5" t="str">
        <f t="shared" si="3"/>
        <v>M4.1</v>
      </c>
      <c r="AL35" s="5" t="str">
        <f t="shared" si="3"/>
        <v>M5.1</v>
      </c>
      <c r="AM35" s="5" t="str">
        <f t="shared" si="3"/>
        <v>M6</v>
      </c>
      <c r="AN35" s="5" t="str">
        <f t="shared" si="3"/>
        <v>M7</v>
      </c>
      <c r="AO35" s="5" t="str">
        <f t="shared" si="3"/>
        <v>M1.2</v>
      </c>
      <c r="AP35" s="5" t="str">
        <f t="shared" si="3"/>
        <v>M2.2</v>
      </c>
      <c r="AQ35" s="5" t="str">
        <f t="shared" si="3"/>
        <v>M3.2</v>
      </c>
      <c r="AR35" s="5" t="str">
        <f t="shared" si="3"/>
        <v>M4.2</v>
      </c>
      <c r="AS35" s="5" t="str">
        <f t="shared" si="3"/>
        <v>M5.2</v>
      </c>
      <c r="AT35" s="5" t="str">
        <f t="shared" si="3"/>
        <v>M7 bis</v>
      </c>
      <c r="AU35" s="5" t="str">
        <f t="shared" si="3"/>
        <v>O1</v>
      </c>
      <c r="AV35" s="5" t="str">
        <f t="shared" si="3"/>
        <v>O2</v>
      </c>
      <c r="AW35" s="5" t="str">
        <f t="shared" si="3"/>
        <v>O3</v>
      </c>
      <c r="AX35" s="5" t="str">
        <f t="shared" si="3"/>
        <v>O4</v>
      </c>
      <c r="AY35" s="5" t="str">
        <f t="shared" si="3"/>
        <v>O4bis</v>
      </c>
      <c r="AZ35" s="5" t="str">
        <f t="shared" si="3"/>
        <v>O5</v>
      </c>
      <c r="BA35" s="5" t="str">
        <f t="shared" si="3"/>
        <v>O6</v>
      </c>
      <c r="BB35" s="5" t="str">
        <f t="shared" si="3"/>
        <v>O7</v>
      </c>
      <c r="BC35" s="5" t="str">
        <f t="shared" si="3"/>
        <v>O8</v>
      </c>
      <c r="BD35" s="5" t="str">
        <f t="shared" si="3"/>
        <v>O2ir</v>
      </c>
      <c r="BE35" s="5" t="str">
        <f t="shared" si="3"/>
        <v>O3ir</v>
      </c>
      <c r="BF35" s="5" t="str">
        <f t="shared" si="3"/>
        <v>O4ir</v>
      </c>
      <c r="BG35" s="5" t="str">
        <f t="shared" si="3"/>
        <v>O4bis ir</v>
      </c>
      <c r="BH35" s="5" t="str">
        <f t="shared" si="3"/>
        <v>O5ir</v>
      </c>
      <c r="BI35" s="5" t="str">
        <f t="shared" si="3"/>
        <v>O6ir</v>
      </c>
      <c r="BJ35" s="5" t="str">
        <f t="shared" si="3"/>
        <v>AIG _C/O_1</v>
      </c>
      <c r="BK35" s="5" t="str">
        <f t="shared" si="3"/>
        <v>AIG _C/O_2</v>
      </c>
      <c r="BL35" s="5" t="str">
        <f t="shared" si="3"/>
        <v>DD1</v>
      </c>
      <c r="BM35" s="5" t="str">
        <f t="shared" si="3"/>
        <v>DD2</v>
      </c>
      <c r="BN35" s="5" t="str">
        <f t="shared" si="3"/>
        <v>DD3</v>
      </c>
      <c r="BO35" s="5" t="str">
        <f t="shared" si="3"/>
        <v>DD4</v>
      </c>
      <c r="BP35" s="5" t="str">
        <f t="shared" si="3"/>
        <v>D1A</v>
      </c>
      <c r="BQ35" s="5" t="str">
        <f t="shared" si="3"/>
        <v>D2A</v>
      </c>
      <c r="BR35" s="5" t="str">
        <f t="shared" si="3"/>
        <v>D3A</v>
      </c>
      <c r="BS35" s="5" t="str">
        <f t="shared" si="3"/>
        <v>D4A</v>
      </c>
      <c r="BT35" s="5" t="s">
        <v>583</v>
      </c>
      <c r="BU35" s="5" t="str">
        <f t="shared" si="3"/>
        <v>D1B</v>
      </c>
      <c r="BV35" s="5" t="str">
        <f t="shared" si="3"/>
        <v>D2B</v>
      </c>
      <c r="BW35" s="5" t="str">
        <f t="shared" si="3"/>
        <v>D3B</v>
      </c>
      <c r="BX35" s="5" t="str">
        <f t="shared" si="3"/>
        <v>D4B</v>
      </c>
      <c r="BY35" s="5" t="str">
        <f t="shared" si="3"/>
        <v>D1C</v>
      </c>
      <c r="BZ35" s="5" t="str">
        <f t="shared" si="3"/>
        <v>D2C</v>
      </c>
      <c r="CA35" s="5" t="str">
        <f t="shared" si="3"/>
        <v>D3C</v>
      </c>
      <c r="CB35" s="5" t="str">
        <f t="shared" si="3"/>
        <v>D4C</v>
      </c>
      <c r="CC35" s="5" t="str">
        <f t="shared" si="3"/>
        <v>CC1</v>
      </c>
      <c r="CD35" s="5" t="str">
        <f t="shared" si="3"/>
        <v>CC2</v>
      </c>
      <c r="CE35" s="5" t="str">
        <f t="shared" ref="CE35:EA35" si="4">CE2</f>
        <v>CC3</v>
      </c>
      <c r="CF35" s="5" t="str">
        <f t="shared" si="4"/>
        <v>CC4</v>
      </c>
      <c r="CG35" s="5" t="s">
        <v>584</v>
      </c>
      <c r="CH35" s="5" t="str">
        <f t="shared" si="4"/>
        <v>C1A</v>
      </c>
      <c r="CI35" s="5" t="str">
        <f t="shared" si="4"/>
        <v>C2A</v>
      </c>
      <c r="CJ35" s="5" t="str">
        <f t="shared" si="4"/>
        <v>C3A</v>
      </c>
      <c r="CK35" s="5" t="str">
        <f t="shared" si="4"/>
        <v>C4A</v>
      </c>
      <c r="CL35" s="5" t="s">
        <v>585</v>
      </c>
      <c r="CM35" s="5" t="str">
        <f t="shared" si="4"/>
        <v>C1D</v>
      </c>
      <c r="CN35" s="5" t="str">
        <f t="shared" si="4"/>
        <v>C2D</v>
      </c>
      <c r="CO35" s="5" t="str">
        <f t="shared" si="4"/>
        <v>C3D</v>
      </c>
      <c r="CP35" s="5" t="str">
        <f t="shared" si="4"/>
        <v>C4D</v>
      </c>
      <c r="CQ35" s="5" t="str">
        <f t="shared" si="4"/>
        <v>BB1</v>
      </c>
      <c r="CR35" s="5" t="str">
        <f t="shared" si="4"/>
        <v>BB2</v>
      </c>
      <c r="CS35" s="5" t="str">
        <f t="shared" si="4"/>
        <v>BB3</v>
      </c>
      <c r="CT35" s="5" t="str">
        <f t="shared" si="4"/>
        <v>BB4</v>
      </c>
      <c r="CU35" s="5" t="s">
        <v>586</v>
      </c>
      <c r="CV35" s="5" t="str">
        <f t="shared" si="4"/>
        <v>B1A</v>
      </c>
      <c r="CW35" s="5" t="str">
        <f t="shared" si="4"/>
        <v>B2A</v>
      </c>
      <c r="CX35" s="5" t="str">
        <f t="shared" si="4"/>
        <v>B3A</v>
      </c>
      <c r="CY35" s="5" t="str">
        <f t="shared" si="4"/>
        <v>B4A</v>
      </c>
      <c r="CZ35" s="5" t="s">
        <v>587</v>
      </c>
      <c r="DA35" s="5" t="str">
        <f t="shared" si="4"/>
        <v>B1B</v>
      </c>
      <c r="DB35" s="5" t="str">
        <f t="shared" si="4"/>
        <v>B2B</v>
      </c>
      <c r="DC35" s="5" t="str">
        <f t="shared" si="4"/>
        <v>B3B</v>
      </c>
      <c r="DD35" s="5" t="str">
        <f t="shared" si="4"/>
        <v>B4B</v>
      </c>
      <c r="DE35" s="5" t="s">
        <v>588</v>
      </c>
      <c r="DF35" s="5" t="str">
        <f t="shared" si="4"/>
        <v>B1C</v>
      </c>
      <c r="DG35" s="5" t="str">
        <f t="shared" si="4"/>
        <v>B2C</v>
      </c>
      <c r="DH35" s="5" t="str">
        <f t="shared" si="4"/>
        <v>B3C</v>
      </c>
      <c r="DI35" s="5" t="str">
        <f t="shared" si="4"/>
        <v>B4C</v>
      </c>
      <c r="DJ35" s="5" t="str">
        <f t="shared" si="4"/>
        <v>B1D</v>
      </c>
      <c r="DK35" s="5" t="str">
        <f t="shared" si="4"/>
        <v>B2D</v>
      </c>
      <c r="DL35" s="5" t="str">
        <f t="shared" si="4"/>
        <v>B3D</v>
      </c>
      <c r="DM35" s="5" t="str">
        <f t="shared" si="4"/>
        <v>B4D</v>
      </c>
      <c r="DN35" s="5" t="str">
        <f t="shared" si="4"/>
        <v>A11</v>
      </c>
      <c r="DO35" s="5" t="str">
        <f t="shared" si="4"/>
        <v>A12</v>
      </c>
      <c r="DP35" s="5" t="str">
        <f t="shared" si="4"/>
        <v>A21</v>
      </c>
      <c r="DQ35" s="5" t="str">
        <f t="shared" si="4"/>
        <v>A22</v>
      </c>
      <c r="DR35" s="5" t="str">
        <f t="shared" si="4"/>
        <v>A23</v>
      </c>
      <c r="DS35" s="5" t="str">
        <f t="shared" si="4"/>
        <v>A31</v>
      </c>
      <c r="DT35" s="5" t="str">
        <f t="shared" si="4"/>
        <v>A32</v>
      </c>
      <c r="DU35" s="5" t="str">
        <f t="shared" si="4"/>
        <v>A33</v>
      </c>
      <c r="DV35" s="5" t="str">
        <f t="shared" si="4"/>
        <v>A41</v>
      </c>
      <c r="DW35" s="5" t="str">
        <f t="shared" si="4"/>
        <v>A42</v>
      </c>
      <c r="DX35" s="5" t="str">
        <f t="shared" si="4"/>
        <v>A43</v>
      </c>
      <c r="DY35" s="5" t="str">
        <f t="shared" si="4"/>
        <v>A51</v>
      </c>
      <c r="DZ35" s="5" t="str">
        <f t="shared" si="4"/>
        <v>A52</v>
      </c>
      <c r="EA35" s="5" t="str">
        <f t="shared" si="4"/>
        <v>A53</v>
      </c>
    </row>
    <row r="36" spans="1:131">
      <c r="A36" s="91">
        <v>0</v>
      </c>
      <c r="B36" s="5">
        <v>1</v>
      </c>
      <c r="C36" s="5">
        <v>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48">
        <v>2</v>
      </c>
      <c r="K36" s="48">
        <v>2</v>
      </c>
      <c r="L36" s="48">
        <v>2</v>
      </c>
      <c r="M36" s="48">
        <v>2</v>
      </c>
      <c r="N36" s="48">
        <v>2</v>
      </c>
      <c r="O36" s="48">
        <v>2</v>
      </c>
      <c r="P36" s="48">
        <v>3</v>
      </c>
      <c r="Q36" s="48">
        <v>3</v>
      </c>
      <c r="R36" s="48">
        <v>3</v>
      </c>
      <c r="S36" s="48">
        <v>3</v>
      </c>
      <c r="T36" s="48">
        <v>3</v>
      </c>
      <c r="U36" s="48">
        <v>3</v>
      </c>
      <c r="V36" s="48">
        <v>3</v>
      </c>
      <c r="W36" s="48">
        <v>3</v>
      </c>
      <c r="X36" s="5">
        <v>2</v>
      </c>
      <c r="Y36" s="5">
        <v>2</v>
      </c>
      <c r="Z36" s="5">
        <v>2</v>
      </c>
      <c r="AA36" s="5">
        <v>2</v>
      </c>
      <c r="AB36" s="5">
        <v>2</v>
      </c>
      <c r="AC36" s="5">
        <v>3</v>
      </c>
      <c r="AD36" s="5">
        <v>3</v>
      </c>
      <c r="AE36" s="5">
        <v>3</v>
      </c>
      <c r="AF36" s="5">
        <v>3</v>
      </c>
      <c r="AG36" s="5">
        <v>3</v>
      </c>
      <c r="AH36" s="5">
        <v>3</v>
      </c>
      <c r="AI36" s="5">
        <v>3</v>
      </c>
      <c r="AJ36" s="5">
        <v>3</v>
      </c>
      <c r="AK36" s="5">
        <v>3</v>
      </c>
      <c r="AL36" s="5">
        <v>3</v>
      </c>
      <c r="AM36" s="5">
        <v>3</v>
      </c>
      <c r="AN36" s="5">
        <v>3</v>
      </c>
      <c r="AO36" s="5">
        <v>3</v>
      </c>
      <c r="AP36" s="5">
        <v>3</v>
      </c>
      <c r="AQ36" s="5">
        <v>3</v>
      </c>
      <c r="AR36" s="5">
        <v>3</v>
      </c>
      <c r="AS36" s="5">
        <v>3</v>
      </c>
      <c r="AT36" s="5">
        <v>3</v>
      </c>
      <c r="AU36" s="5">
        <v>4</v>
      </c>
      <c r="AV36" s="5">
        <v>4</v>
      </c>
      <c r="AW36" s="5">
        <v>4</v>
      </c>
      <c r="AX36" s="5">
        <v>4</v>
      </c>
      <c r="AY36" s="5">
        <v>4</v>
      </c>
      <c r="AZ36" s="5">
        <v>4.4000000000000004</v>
      </c>
      <c r="BA36" s="5">
        <v>4.4000000000000004</v>
      </c>
      <c r="BB36" s="5">
        <v>4.8</v>
      </c>
      <c r="BC36" s="5">
        <v>4.9000000000000004</v>
      </c>
      <c r="BD36" s="5">
        <v>4</v>
      </c>
      <c r="BE36" s="5">
        <v>4</v>
      </c>
      <c r="BF36" s="5">
        <v>4</v>
      </c>
      <c r="BG36" s="5">
        <v>4</v>
      </c>
      <c r="BH36" s="5">
        <v>4.4000000000000004</v>
      </c>
      <c r="BI36" s="5">
        <v>4.4000000000000004</v>
      </c>
      <c r="BJ36" s="5">
        <v>4.4000000000000004</v>
      </c>
      <c r="BK36" s="5">
        <v>4.4000000000000004</v>
      </c>
      <c r="BL36" s="5">
        <v>7</v>
      </c>
      <c r="BM36" s="5">
        <v>7</v>
      </c>
      <c r="BN36" s="5">
        <v>7</v>
      </c>
      <c r="BO36" s="5">
        <v>7</v>
      </c>
      <c r="BP36" s="5">
        <v>7</v>
      </c>
      <c r="BQ36" s="5">
        <v>7</v>
      </c>
      <c r="BR36" s="5">
        <v>7</v>
      </c>
      <c r="BS36" s="5">
        <v>7</v>
      </c>
      <c r="BT36" s="5">
        <v>7</v>
      </c>
      <c r="BU36" s="5">
        <v>7</v>
      </c>
      <c r="BV36" s="5">
        <v>7</v>
      </c>
      <c r="BW36" s="5">
        <v>7</v>
      </c>
      <c r="BX36" s="5">
        <v>7</v>
      </c>
      <c r="BY36" s="5">
        <v>7</v>
      </c>
      <c r="BZ36" s="5">
        <v>7</v>
      </c>
      <c r="CA36" s="5">
        <v>7</v>
      </c>
      <c r="CB36" s="5">
        <v>7</v>
      </c>
      <c r="CC36" s="5">
        <v>8</v>
      </c>
      <c r="CD36" s="5">
        <v>8</v>
      </c>
      <c r="CE36" s="5">
        <v>8</v>
      </c>
      <c r="CF36" s="5">
        <v>8</v>
      </c>
      <c r="CG36" s="5">
        <v>8</v>
      </c>
      <c r="CH36" s="5">
        <v>8</v>
      </c>
      <c r="CI36" s="5">
        <v>8</v>
      </c>
      <c r="CJ36" s="5">
        <v>8</v>
      </c>
      <c r="CK36" s="5">
        <v>8</v>
      </c>
      <c r="CL36" s="5">
        <v>8</v>
      </c>
      <c r="CM36" s="5">
        <v>8</v>
      </c>
      <c r="CN36" s="5">
        <v>8</v>
      </c>
      <c r="CO36" s="5">
        <v>8</v>
      </c>
      <c r="CP36" s="5">
        <v>8</v>
      </c>
      <c r="CQ36" s="31">
        <v>9</v>
      </c>
      <c r="CR36" s="31">
        <v>9</v>
      </c>
      <c r="CS36" s="31">
        <v>9</v>
      </c>
      <c r="CT36" s="31">
        <v>9</v>
      </c>
      <c r="CU36" s="31">
        <v>9</v>
      </c>
      <c r="CV36" s="31">
        <v>9</v>
      </c>
      <c r="CW36" s="31">
        <v>9</v>
      </c>
      <c r="CX36" s="31">
        <v>9</v>
      </c>
      <c r="CY36" s="31">
        <v>9</v>
      </c>
      <c r="CZ36" s="31">
        <v>9</v>
      </c>
      <c r="DA36" s="31">
        <v>9</v>
      </c>
      <c r="DB36" s="31">
        <v>9</v>
      </c>
      <c r="DC36" s="31">
        <v>9</v>
      </c>
      <c r="DD36" s="31">
        <v>9</v>
      </c>
      <c r="DE36" s="31">
        <v>9</v>
      </c>
      <c r="DF36" s="31">
        <v>9</v>
      </c>
      <c r="DG36" s="31">
        <v>9</v>
      </c>
      <c r="DH36" s="31">
        <v>9</v>
      </c>
      <c r="DI36" s="31">
        <v>9</v>
      </c>
      <c r="DJ36" s="31">
        <v>9</v>
      </c>
      <c r="DK36" s="31">
        <v>9</v>
      </c>
      <c r="DL36" s="31">
        <v>9</v>
      </c>
      <c r="DM36" s="31">
        <v>9</v>
      </c>
      <c r="DN36" s="70">
        <v>9.8000000000000007</v>
      </c>
      <c r="DO36" s="70">
        <v>9.8000000000000007</v>
      </c>
      <c r="DP36" s="71">
        <v>9.8000000000000007</v>
      </c>
      <c r="DQ36" s="71">
        <v>9.8000000000000007</v>
      </c>
      <c r="DR36" s="71">
        <v>9.8000000000000007</v>
      </c>
      <c r="DS36" s="71">
        <v>10.1</v>
      </c>
      <c r="DT36" s="71">
        <v>10.1</v>
      </c>
      <c r="DU36" s="71">
        <v>10.1</v>
      </c>
      <c r="DV36" s="71">
        <v>10.199999999999999</v>
      </c>
      <c r="DW36" s="71">
        <v>10.199999999999999</v>
      </c>
      <c r="DX36" s="71">
        <v>10.199999999999999</v>
      </c>
      <c r="DY36" s="71">
        <v>10.3</v>
      </c>
      <c r="DZ36" s="71">
        <v>10.3</v>
      </c>
      <c r="EA36" s="71">
        <v>10.3</v>
      </c>
    </row>
    <row r="37" spans="1:131">
      <c r="B37" s="5">
        <f>ROUND(B36,0)</f>
        <v>1</v>
      </c>
      <c r="C37" s="5">
        <f t="shared" ref="C37:CD37" si="5">ROUND(C36,0)</f>
        <v>1</v>
      </c>
      <c r="D37" s="5">
        <f t="shared" si="5"/>
        <v>1</v>
      </c>
      <c r="E37" s="5">
        <f t="shared" si="5"/>
        <v>1</v>
      </c>
      <c r="F37" s="5">
        <f t="shared" si="5"/>
        <v>1</v>
      </c>
      <c r="G37" s="5">
        <f t="shared" si="5"/>
        <v>1</v>
      </c>
      <c r="H37" s="5">
        <f t="shared" si="5"/>
        <v>1</v>
      </c>
      <c r="I37" s="5">
        <f t="shared" si="5"/>
        <v>1</v>
      </c>
      <c r="J37" s="5">
        <f t="shared" si="5"/>
        <v>2</v>
      </c>
      <c r="K37" s="5">
        <f t="shared" si="5"/>
        <v>2</v>
      </c>
      <c r="L37" s="5">
        <f t="shared" si="5"/>
        <v>2</v>
      </c>
      <c r="M37" s="5">
        <f t="shared" si="5"/>
        <v>2</v>
      </c>
      <c r="N37" s="5">
        <f t="shared" si="5"/>
        <v>2</v>
      </c>
      <c r="O37" s="5">
        <f t="shared" si="5"/>
        <v>2</v>
      </c>
      <c r="P37" s="5">
        <v>3</v>
      </c>
      <c r="Q37" s="5">
        <v>3</v>
      </c>
      <c r="R37" s="5">
        <v>3</v>
      </c>
      <c r="S37" s="5">
        <v>3</v>
      </c>
      <c r="T37" s="5">
        <v>3</v>
      </c>
      <c r="U37" s="5">
        <v>3</v>
      </c>
      <c r="V37" s="5">
        <v>3</v>
      </c>
      <c r="W37" s="5">
        <v>3</v>
      </c>
      <c r="X37" s="5">
        <f t="shared" si="5"/>
        <v>2</v>
      </c>
      <c r="Y37" s="5">
        <f t="shared" si="5"/>
        <v>2</v>
      </c>
      <c r="Z37" s="5">
        <f t="shared" si="5"/>
        <v>2</v>
      </c>
      <c r="AA37" s="5">
        <f t="shared" si="5"/>
        <v>2</v>
      </c>
      <c r="AB37" s="5">
        <f t="shared" si="5"/>
        <v>2</v>
      </c>
      <c r="AC37" s="5">
        <v>3</v>
      </c>
      <c r="AD37" s="5">
        <v>3</v>
      </c>
      <c r="AE37" s="5">
        <v>3</v>
      </c>
      <c r="AF37" s="5">
        <v>3</v>
      </c>
      <c r="AG37" s="5">
        <v>3</v>
      </c>
      <c r="AH37" s="5">
        <f t="shared" si="5"/>
        <v>3</v>
      </c>
      <c r="AI37" s="5">
        <f t="shared" si="5"/>
        <v>3</v>
      </c>
      <c r="AJ37" s="5">
        <f t="shared" si="5"/>
        <v>3</v>
      </c>
      <c r="AK37" s="5">
        <f t="shared" si="5"/>
        <v>3</v>
      </c>
      <c r="AL37" s="5">
        <f t="shared" si="5"/>
        <v>3</v>
      </c>
      <c r="AM37" s="5">
        <f t="shared" si="5"/>
        <v>3</v>
      </c>
      <c r="AN37" s="5">
        <f t="shared" si="5"/>
        <v>3</v>
      </c>
      <c r="AO37" s="5">
        <f t="shared" si="5"/>
        <v>3</v>
      </c>
      <c r="AP37" s="5">
        <f t="shared" si="5"/>
        <v>3</v>
      </c>
      <c r="AQ37" s="5">
        <f t="shared" si="5"/>
        <v>3</v>
      </c>
      <c r="AR37" s="5">
        <f t="shared" si="5"/>
        <v>3</v>
      </c>
      <c r="AS37" s="5">
        <f t="shared" si="5"/>
        <v>3</v>
      </c>
      <c r="AT37" s="5">
        <f t="shared" si="5"/>
        <v>3</v>
      </c>
      <c r="AU37" s="5">
        <f t="shared" si="5"/>
        <v>4</v>
      </c>
      <c r="AV37" s="5">
        <f t="shared" si="5"/>
        <v>4</v>
      </c>
      <c r="AW37" s="5">
        <f t="shared" si="5"/>
        <v>4</v>
      </c>
      <c r="AX37" s="5">
        <f t="shared" si="5"/>
        <v>4</v>
      </c>
      <c r="AY37" s="5">
        <f t="shared" si="5"/>
        <v>4</v>
      </c>
      <c r="AZ37" s="5">
        <f t="shared" si="5"/>
        <v>4</v>
      </c>
      <c r="BA37" s="5">
        <f t="shared" si="5"/>
        <v>4</v>
      </c>
      <c r="BB37" s="5">
        <f t="shared" si="5"/>
        <v>5</v>
      </c>
      <c r="BC37" s="5">
        <f t="shared" si="5"/>
        <v>5</v>
      </c>
      <c r="BD37" s="5">
        <f t="shared" si="5"/>
        <v>4</v>
      </c>
      <c r="BE37" s="5">
        <f t="shared" si="5"/>
        <v>4</v>
      </c>
      <c r="BF37" s="5">
        <f t="shared" si="5"/>
        <v>4</v>
      </c>
      <c r="BG37" s="5">
        <f t="shared" si="5"/>
        <v>4</v>
      </c>
      <c r="BH37" s="5">
        <f t="shared" si="5"/>
        <v>4</v>
      </c>
      <c r="BI37" s="5">
        <f t="shared" si="5"/>
        <v>4</v>
      </c>
      <c r="BJ37" s="5">
        <f t="shared" si="5"/>
        <v>4</v>
      </c>
      <c r="BK37" s="5">
        <f t="shared" si="5"/>
        <v>4</v>
      </c>
      <c r="BL37" s="5">
        <f t="shared" si="5"/>
        <v>7</v>
      </c>
      <c r="BM37" s="5">
        <f t="shared" si="5"/>
        <v>7</v>
      </c>
      <c r="BN37" s="5">
        <f t="shared" si="5"/>
        <v>7</v>
      </c>
      <c r="BO37" s="5">
        <f t="shared" si="5"/>
        <v>7</v>
      </c>
      <c r="BP37" s="5">
        <f t="shared" si="5"/>
        <v>7</v>
      </c>
      <c r="BQ37" s="5">
        <f t="shared" si="5"/>
        <v>7</v>
      </c>
      <c r="BR37" s="5">
        <f t="shared" si="5"/>
        <v>7</v>
      </c>
      <c r="BS37" s="5">
        <f t="shared" si="5"/>
        <v>7</v>
      </c>
      <c r="BT37" s="5">
        <v>7</v>
      </c>
      <c r="BU37" s="5">
        <f t="shared" si="5"/>
        <v>7</v>
      </c>
      <c r="BV37" s="5">
        <f t="shared" si="5"/>
        <v>7</v>
      </c>
      <c r="BW37" s="5">
        <f t="shared" si="5"/>
        <v>7</v>
      </c>
      <c r="BX37" s="5">
        <f t="shared" si="5"/>
        <v>7</v>
      </c>
      <c r="BY37" s="5">
        <f t="shared" si="5"/>
        <v>7</v>
      </c>
      <c r="BZ37" s="5">
        <f t="shared" si="5"/>
        <v>7</v>
      </c>
      <c r="CA37" s="5">
        <f t="shared" si="5"/>
        <v>7</v>
      </c>
      <c r="CB37" s="5">
        <f t="shared" si="5"/>
        <v>7</v>
      </c>
      <c r="CC37" s="5">
        <f t="shared" si="5"/>
        <v>8</v>
      </c>
      <c r="CD37" s="5">
        <f t="shared" si="5"/>
        <v>8</v>
      </c>
      <c r="CE37" s="5">
        <f t="shared" ref="CE37:DT37" si="6">ROUND(CE36,0)</f>
        <v>8</v>
      </c>
      <c r="CF37" s="5">
        <f t="shared" si="6"/>
        <v>8</v>
      </c>
      <c r="CG37" s="5">
        <v>8</v>
      </c>
      <c r="CH37" s="5">
        <f t="shared" si="6"/>
        <v>8</v>
      </c>
      <c r="CI37" s="5">
        <f t="shared" si="6"/>
        <v>8</v>
      </c>
      <c r="CJ37" s="5">
        <f t="shared" si="6"/>
        <v>8</v>
      </c>
      <c r="CK37" s="5">
        <f t="shared" si="6"/>
        <v>8</v>
      </c>
      <c r="CL37" s="5">
        <v>8</v>
      </c>
      <c r="CM37" s="5">
        <f t="shared" si="6"/>
        <v>8</v>
      </c>
      <c r="CN37" s="5">
        <f t="shared" si="6"/>
        <v>8</v>
      </c>
      <c r="CO37" s="5">
        <f t="shared" si="6"/>
        <v>8</v>
      </c>
      <c r="CP37" s="5">
        <f t="shared" si="6"/>
        <v>8</v>
      </c>
      <c r="CQ37" s="5">
        <f t="shared" si="6"/>
        <v>9</v>
      </c>
      <c r="CR37" s="5">
        <f t="shared" si="6"/>
        <v>9</v>
      </c>
      <c r="CS37" s="5">
        <f t="shared" si="6"/>
        <v>9</v>
      </c>
      <c r="CT37" s="5">
        <f t="shared" si="6"/>
        <v>9</v>
      </c>
      <c r="CU37" s="5">
        <v>9</v>
      </c>
      <c r="CV37" s="5">
        <f t="shared" si="6"/>
        <v>9</v>
      </c>
      <c r="CW37" s="5">
        <f t="shared" si="6"/>
        <v>9</v>
      </c>
      <c r="CX37" s="5">
        <f t="shared" si="6"/>
        <v>9</v>
      </c>
      <c r="CY37" s="5">
        <f t="shared" si="6"/>
        <v>9</v>
      </c>
      <c r="CZ37" s="5">
        <v>9</v>
      </c>
      <c r="DA37" s="5">
        <f t="shared" si="6"/>
        <v>9</v>
      </c>
      <c r="DB37" s="5">
        <f t="shared" si="6"/>
        <v>9</v>
      </c>
      <c r="DC37" s="5">
        <f t="shared" si="6"/>
        <v>9</v>
      </c>
      <c r="DD37" s="5">
        <f t="shared" si="6"/>
        <v>9</v>
      </c>
      <c r="DE37" s="5">
        <v>9</v>
      </c>
      <c r="DF37" s="5">
        <f t="shared" si="6"/>
        <v>9</v>
      </c>
      <c r="DG37" s="5">
        <f t="shared" si="6"/>
        <v>9</v>
      </c>
      <c r="DH37" s="5">
        <f t="shared" si="6"/>
        <v>9</v>
      </c>
      <c r="DI37" s="5">
        <f t="shared" si="6"/>
        <v>9</v>
      </c>
      <c r="DJ37" s="5">
        <f t="shared" si="6"/>
        <v>9</v>
      </c>
      <c r="DK37" s="5">
        <f t="shared" si="6"/>
        <v>9</v>
      </c>
      <c r="DL37" s="5">
        <f t="shared" si="6"/>
        <v>9</v>
      </c>
      <c r="DM37" s="5">
        <f t="shared" si="6"/>
        <v>9</v>
      </c>
      <c r="DN37" s="5">
        <f t="shared" si="6"/>
        <v>10</v>
      </c>
      <c r="DO37" s="5">
        <f t="shared" si="6"/>
        <v>10</v>
      </c>
      <c r="DP37" s="5">
        <f t="shared" si="6"/>
        <v>10</v>
      </c>
      <c r="DQ37" s="5">
        <f t="shared" si="6"/>
        <v>10</v>
      </c>
      <c r="DR37" s="5">
        <f t="shared" si="6"/>
        <v>10</v>
      </c>
      <c r="DS37" s="5">
        <f t="shared" si="6"/>
        <v>10</v>
      </c>
      <c r="DT37" s="5">
        <f t="shared" si="6"/>
        <v>10</v>
      </c>
      <c r="DU37" s="5">
        <f>CEILING(DU36,1)</f>
        <v>11</v>
      </c>
      <c r="DV37" s="5">
        <f t="shared" ref="DV37:EA37" si="7">CEILING(DV36,1)</f>
        <v>11</v>
      </c>
      <c r="DW37" s="5">
        <f t="shared" si="7"/>
        <v>11</v>
      </c>
      <c r="DX37" s="5">
        <f t="shared" si="7"/>
        <v>11</v>
      </c>
      <c r="DY37" s="5">
        <f t="shared" si="7"/>
        <v>11</v>
      </c>
      <c r="DZ37" s="5">
        <f t="shared" si="7"/>
        <v>11</v>
      </c>
      <c r="EA37" s="5">
        <f t="shared" si="7"/>
        <v>11</v>
      </c>
    </row>
    <row r="38" spans="1:131">
      <c r="A38" t="s">
        <v>197</v>
      </c>
      <c r="X38" s="5">
        <v>2</v>
      </c>
      <c r="Y38" s="5">
        <v>2</v>
      </c>
      <c r="Z38" s="5">
        <v>2</v>
      </c>
      <c r="AA38" s="5">
        <v>2</v>
      </c>
      <c r="AB38" s="5">
        <v>2</v>
      </c>
      <c r="AC38" s="5"/>
      <c r="AD38" s="5"/>
      <c r="AE38" s="5"/>
      <c r="AF38" s="5"/>
      <c r="AG38" s="5"/>
    </row>
    <row r="39" spans="1:131">
      <c r="A39" t="s">
        <v>196</v>
      </c>
      <c r="B39">
        <v>4</v>
      </c>
      <c r="C39">
        <v>4</v>
      </c>
      <c r="D39">
        <v>4</v>
      </c>
      <c r="E39">
        <v>4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 s="5">
        <v>3</v>
      </c>
      <c r="Y39" s="5">
        <v>3</v>
      </c>
      <c r="Z39" s="5">
        <v>3</v>
      </c>
      <c r="AA39" s="5">
        <v>3</v>
      </c>
      <c r="AB39" s="5">
        <v>3</v>
      </c>
      <c r="AC39" s="69">
        <v>2</v>
      </c>
      <c r="AD39" s="69">
        <v>2</v>
      </c>
      <c r="AE39" s="69">
        <v>2</v>
      </c>
      <c r="AF39" s="69">
        <v>2</v>
      </c>
      <c r="AG39" s="69">
        <v>2</v>
      </c>
      <c r="AH39" s="5">
        <v>2</v>
      </c>
      <c r="AI39" s="5">
        <v>2</v>
      </c>
      <c r="AJ39" s="5">
        <v>2</v>
      </c>
      <c r="AK39" s="5">
        <v>2</v>
      </c>
      <c r="AL39" s="5">
        <v>2</v>
      </c>
      <c r="AM39" s="5">
        <v>2</v>
      </c>
      <c r="AN39" s="5">
        <v>2</v>
      </c>
      <c r="AO39" s="5">
        <v>2</v>
      </c>
      <c r="AP39" s="5">
        <v>2</v>
      </c>
      <c r="AQ39" s="5">
        <v>2</v>
      </c>
      <c r="AR39" s="5">
        <v>2</v>
      </c>
      <c r="AS39" s="5">
        <v>2</v>
      </c>
      <c r="AT39" s="5">
        <v>2</v>
      </c>
      <c r="AU39" s="5">
        <v>1</v>
      </c>
      <c r="AV39" s="5">
        <v>1</v>
      </c>
      <c r="AW39" s="5">
        <v>1</v>
      </c>
      <c r="AX39" s="5">
        <v>1</v>
      </c>
      <c r="AY39" s="5">
        <v>1</v>
      </c>
      <c r="AZ39" s="5">
        <v>1</v>
      </c>
      <c r="BA39" s="5">
        <v>1</v>
      </c>
      <c r="BB39" s="5">
        <v>1</v>
      </c>
      <c r="BC39" s="5">
        <v>1</v>
      </c>
      <c r="BD39" s="5">
        <v>1</v>
      </c>
      <c r="BE39" s="5">
        <v>1</v>
      </c>
      <c r="BF39" s="5">
        <v>1</v>
      </c>
      <c r="BG39" s="5">
        <v>1</v>
      </c>
      <c r="BH39" s="5">
        <v>1</v>
      </c>
      <c r="BI39" s="5">
        <v>1</v>
      </c>
      <c r="BJ39" s="5">
        <v>1</v>
      </c>
      <c r="BK39" s="5">
        <v>1</v>
      </c>
      <c r="BL39" s="5">
        <v>4</v>
      </c>
      <c r="BM39" s="5">
        <v>4</v>
      </c>
      <c r="BN39" s="5">
        <v>4</v>
      </c>
      <c r="BO39" s="5">
        <v>4</v>
      </c>
      <c r="BP39" s="5">
        <v>4</v>
      </c>
      <c r="BQ39" s="5">
        <v>4</v>
      </c>
      <c r="BR39" s="5">
        <v>4</v>
      </c>
      <c r="BS39" s="5">
        <v>4</v>
      </c>
      <c r="BT39" s="5">
        <v>4</v>
      </c>
      <c r="BU39" s="5">
        <v>4</v>
      </c>
      <c r="BV39" s="5">
        <v>4</v>
      </c>
      <c r="BW39" s="5">
        <v>4</v>
      </c>
      <c r="BX39" s="5">
        <v>4</v>
      </c>
      <c r="BY39" s="5">
        <v>4</v>
      </c>
      <c r="BZ39" s="5">
        <v>4</v>
      </c>
      <c r="CA39" s="5">
        <v>4</v>
      </c>
      <c r="CB39" s="5">
        <v>4</v>
      </c>
      <c r="CC39" s="5">
        <v>3</v>
      </c>
      <c r="CD39" s="5">
        <v>3</v>
      </c>
      <c r="CE39" s="5">
        <v>3</v>
      </c>
      <c r="CF39" s="5">
        <v>3</v>
      </c>
      <c r="CG39" s="5">
        <v>3</v>
      </c>
      <c r="CH39" s="5">
        <v>3</v>
      </c>
      <c r="CI39" s="5">
        <v>3</v>
      </c>
      <c r="CJ39" s="5">
        <v>3</v>
      </c>
      <c r="CK39" s="5">
        <v>3</v>
      </c>
      <c r="CL39" s="5">
        <v>3</v>
      </c>
      <c r="CM39" s="5">
        <v>3</v>
      </c>
      <c r="CN39" s="5">
        <v>3</v>
      </c>
      <c r="CO39" s="5">
        <v>3</v>
      </c>
      <c r="CP39" s="5">
        <v>3</v>
      </c>
      <c r="CQ39" s="5">
        <v>2</v>
      </c>
      <c r="CR39" s="5">
        <v>2</v>
      </c>
      <c r="CS39" s="5">
        <v>2</v>
      </c>
      <c r="CT39" s="5">
        <v>2</v>
      </c>
      <c r="CU39" s="5">
        <v>2</v>
      </c>
      <c r="CV39" s="5">
        <v>2</v>
      </c>
      <c r="CW39" s="5">
        <v>2</v>
      </c>
      <c r="CX39" s="5">
        <v>2</v>
      </c>
      <c r="CY39" s="5">
        <v>2</v>
      </c>
      <c r="CZ39" s="5">
        <v>2</v>
      </c>
      <c r="DA39" s="5">
        <v>2</v>
      </c>
      <c r="DB39" s="5">
        <v>2</v>
      </c>
      <c r="DC39" s="5">
        <v>2</v>
      </c>
      <c r="DD39" s="5">
        <v>2</v>
      </c>
      <c r="DE39" s="5">
        <v>2</v>
      </c>
      <c r="DF39" s="5">
        <v>2</v>
      </c>
      <c r="DG39" s="5">
        <v>2</v>
      </c>
      <c r="DH39" s="5">
        <v>2</v>
      </c>
      <c r="DI39" s="5">
        <v>2</v>
      </c>
      <c r="DJ39" s="5">
        <v>2</v>
      </c>
      <c r="DK39" s="5">
        <v>2</v>
      </c>
      <c r="DL39" s="5">
        <v>2</v>
      </c>
      <c r="DM39" s="5">
        <v>2</v>
      </c>
      <c r="DN39" s="5">
        <v>1</v>
      </c>
      <c r="DO39" s="5">
        <v>1</v>
      </c>
      <c r="DP39" s="5">
        <v>1</v>
      </c>
      <c r="DQ39" s="5">
        <v>1</v>
      </c>
      <c r="DR39" s="5">
        <v>1</v>
      </c>
      <c r="DS39" s="5">
        <v>1</v>
      </c>
      <c r="DT39" s="5">
        <v>1</v>
      </c>
      <c r="DU39" s="5">
        <v>1</v>
      </c>
      <c r="DV39" s="5">
        <v>1</v>
      </c>
      <c r="DW39" s="5">
        <v>1</v>
      </c>
      <c r="DX39" s="5">
        <v>1</v>
      </c>
      <c r="DY39" s="5">
        <v>1</v>
      </c>
      <c r="DZ39" s="5">
        <v>1</v>
      </c>
      <c r="EA39" s="5">
        <v>1</v>
      </c>
    </row>
    <row r="40" spans="1:131">
      <c r="A40" t="s">
        <v>210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 s="69">
        <v>1</v>
      </c>
      <c r="AD40" s="69">
        <v>1</v>
      </c>
      <c r="AE40" s="69">
        <v>1</v>
      </c>
      <c r="AF40" s="69">
        <v>1</v>
      </c>
      <c r="AG40" s="69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2</v>
      </c>
      <c r="BM40">
        <v>2</v>
      </c>
      <c r="BN40">
        <v>2</v>
      </c>
      <c r="BO40">
        <v>2</v>
      </c>
      <c r="BP40">
        <v>2</v>
      </c>
      <c r="BQ40">
        <v>2</v>
      </c>
      <c r="BR40">
        <v>2</v>
      </c>
      <c r="BS40">
        <v>2</v>
      </c>
      <c r="BT40" s="69">
        <v>2</v>
      </c>
      <c r="BU40">
        <v>2</v>
      </c>
      <c r="BV40">
        <v>2</v>
      </c>
      <c r="BW40">
        <v>2</v>
      </c>
      <c r="BX40">
        <v>2</v>
      </c>
      <c r="BY40">
        <v>2</v>
      </c>
      <c r="BZ40">
        <v>2</v>
      </c>
      <c r="CA40">
        <v>2</v>
      </c>
      <c r="CB40">
        <v>2</v>
      </c>
      <c r="CC40">
        <v>2</v>
      </c>
      <c r="CD40">
        <v>2</v>
      </c>
      <c r="CE40">
        <v>2</v>
      </c>
      <c r="CF40">
        <v>2</v>
      </c>
      <c r="CG40" s="69">
        <v>2</v>
      </c>
      <c r="CH40">
        <v>2</v>
      </c>
      <c r="CI40">
        <v>2</v>
      </c>
      <c r="CJ40">
        <v>2</v>
      </c>
      <c r="CK40">
        <v>2</v>
      </c>
      <c r="CL40" s="69">
        <v>2</v>
      </c>
      <c r="CM40">
        <v>2</v>
      </c>
      <c r="CN40">
        <v>2</v>
      </c>
      <c r="CO40">
        <v>2</v>
      </c>
      <c r="CP40">
        <v>2</v>
      </c>
      <c r="CQ40">
        <v>2</v>
      </c>
      <c r="CR40">
        <v>2</v>
      </c>
      <c r="CS40">
        <v>2</v>
      </c>
      <c r="CT40">
        <v>2</v>
      </c>
      <c r="CU40" s="69">
        <v>2</v>
      </c>
      <c r="CV40" s="69">
        <v>2</v>
      </c>
      <c r="CW40" s="69">
        <v>2</v>
      </c>
      <c r="CX40" s="69">
        <v>2</v>
      </c>
      <c r="CY40" s="69">
        <v>2</v>
      </c>
      <c r="CZ40" s="69">
        <v>2</v>
      </c>
      <c r="DA40" s="69">
        <v>2</v>
      </c>
      <c r="DB40" s="69">
        <v>2</v>
      </c>
      <c r="DC40" s="69">
        <v>2</v>
      </c>
      <c r="DD40" s="69">
        <v>2</v>
      </c>
      <c r="DE40" s="69">
        <v>2</v>
      </c>
      <c r="DF40">
        <v>2</v>
      </c>
      <c r="DG40">
        <v>2</v>
      </c>
      <c r="DH40">
        <v>2</v>
      </c>
      <c r="DI40">
        <v>2</v>
      </c>
      <c r="DJ40">
        <v>2</v>
      </c>
      <c r="DK40">
        <v>2</v>
      </c>
      <c r="DL40">
        <v>2</v>
      </c>
      <c r="DM40">
        <v>2</v>
      </c>
      <c r="DN40">
        <v>2</v>
      </c>
      <c r="DO40">
        <v>2</v>
      </c>
      <c r="DP40">
        <v>2</v>
      </c>
      <c r="DQ40">
        <v>2</v>
      </c>
      <c r="DR40">
        <v>2</v>
      </c>
      <c r="DS40">
        <v>2</v>
      </c>
      <c r="DT40">
        <v>2</v>
      </c>
      <c r="DU40">
        <v>2</v>
      </c>
      <c r="DV40">
        <v>2</v>
      </c>
      <c r="DW40">
        <v>2</v>
      </c>
      <c r="DX40">
        <v>2</v>
      </c>
      <c r="DY40">
        <v>2</v>
      </c>
      <c r="DZ40">
        <v>2</v>
      </c>
      <c r="EA40">
        <v>2</v>
      </c>
    </row>
    <row r="41" spans="1:131">
      <c r="A41" t="s">
        <v>212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 s="69">
        <v>1</v>
      </c>
      <c r="AD41" s="69">
        <v>1</v>
      </c>
      <c r="AE41" s="69">
        <v>1</v>
      </c>
      <c r="AF41" s="69">
        <v>1</v>
      </c>
      <c r="AG41" s="69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2</v>
      </c>
      <c r="AW41">
        <v>2</v>
      </c>
      <c r="AX41">
        <v>2</v>
      </c>
      <c r="AY41">
        <v>2</v>
      </c>
      <c r="AZ41">
        <v>3</v>
      </c>
      <c r="BA41">
        <v>3</v>
      </c>
      <c r="BB41">
        <v>3</v>
      </c>
      <c r="BC41">
        <v>3</v>
      </c>
      <c r="BD41">
        <v>2</v>
      </c>
      <c r="BE41">
        <v>2</v>
      </c>
      <c r="BF41">
        <v>2</v>
      </c>
      <c r="BG41">
        <v>2</v>
      </c>
      <c r="BH41">
        <v>3</v>
      </c>
      <c r="BI41">
        <v>3</v>
      </c>
      <c r="BJ41">
        <v>3</v>
      </c>
      <c r="BK41">
        <v>3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 s="69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  <c r="CE41">
        <v>1</v>
      </c>
      <c r="CF41">
        <v>1</v>
      </c>
      <c r="CG41" s="69">
        <v>1</v>
      </c>
      <c r="CH41">
        <v>1</v>
      </c>
      <c r="CI41">
        <v>1</v>
      </c>
      <c r="CJ41">
        <v>1</v>
      </c>
      <c r="CK41">
        <v>1</v>
      </c>
      <c r="CL41" s="69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 s="69">
        <v>1</v>
      </c>
      <c r="CV41" s="69">
        <v>1</v>
      </c>
      <c r="CW41" s="69">
        <v>1</v>
      </c>
      <c r="CX41" s="69">
        <v>1</v>
      </c>
      <c r="CY41" s="69">
        <v>1</v>
      </c>
      <c r="CZ41" s="69">
        <v>1</v>
      </c>
      <c r="DA41" s="69">
        <v>1</v>
      </c>
      <c r="DB41" s="69">
        <v>1</v>
      </c>
      <c r="DC41" s="69">
        <v>1</v>
      </c>
      <c r="DD41" s="69">
        <v>1</v>
      </c>
      <c r="DE41" s="69">
        <v>1</v>
      </c>
      <c r="DF41">
        <v>1</v>
      </c>
      <c r="DG41">
        <v>1</v>
      </c>
      <c r="DH41">
        <v>1</v>
      </c>
      <c r="DI41">
        <v>1</v>
      </c>
      <c r="DJ41">
        <v>1</v>
      </c>
      <c r="DK41">
        <v>1</v>
      </c>
      <c r="DL41">
        <v>1</v>
      </c>
      <c r="DM41">
        <v>1</v>
      </c>
      <c r="DN41">
        <v>1</v>
      </c>
      <c r="DO41">
        <v>1</v>
      </c>
      <c r="DP41">
        <v>1</v>
      </c>
      <c r="DQ41">
        <v>1</v>
      </c>
      <c r="DR41">
        <v>1</v>
      </c>
      <c r="DS41">
        <v>1</v>
      </c>
      <c r="DT41">
        <v>1</v>
      </c>
      <c r="DU41">
        <v>1</v>
      </c>
      <c r="DV41">
        <v>1</v>
      </c>
      <c r="DW41">
        <v>1</v>
      </c>
      <c r="DX41">
        <v>1</v>
      </c>
      <c r="DY41">
        <v>1</v>
      </c>
      <c r="DZ41">
        <v>1</v>
      </c>
      <c r="EA41">
        <v>1</v>
      </c>
    </row>
    <row r="42" spans="1:131"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AR42"/>
      <c r="AS42"/>
      <c r="AT42"/>
      <c r="AU42"/>
      <c r="AV42"/>
      <c r="AW42"/>
      <c r="BC42" s="5"/>
      <c r="BD42" s="5"/>
      <c r="BE42" s="5"/>
      <c r="BF42" s="5"/>
      <c r="BG42" s="5"/>
      <c r="BH42" s="5"/>
    </row>
    <row r="43" spans="1:131"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AR43"/>
      <c r="AS43"/>
      <c r="AT43"/>
      <c r="AU43"/>
      <c r="AV43"/>
      <c r="AW43"/>
      <c r="BC43" s="5"/>
      <c r="BD43" s="5"/>
      <c r="BE43" s="5"/>
      <c r="BF43" s="5"/>
      <c r="BG43" s="5"/>
      <c r="BH43" s="5"/>
    </row>
    <row r="44" spans="1:131"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AR44"/>
      <c r="AS44"/>
      <c r="AT44"/>
      <c r="AU44"/>
      <c r="AV44"/>
      <c r="AW44"/>
      <c r="BC44" s="5"/>
      <c r="BD44" s="5"/>
      <c r="BE44" s="5"/>
      <c r="BF44" s="5"/>
      <c r="BG44" s="5"/>
      <c r="BH44" s="5"/>
    </row>
    <row r="46" spans="1:131">
      <c r="C46" t="s">
        <v>602</v>
      </c>
      <c r="D46" t="s">
        <v>603</v>
      </c>
      <c r="E46" t="s">
        <v>604</v>
      </c>
      <c r="F46" t="s">
        <v>605</v>
      </c>
      <c r="G46" t="s">
        <v>606</v>
      </c>
      <c r="H46" t="s">
        <v>607</v>
      </c>
    </row>
    <row r="47" spans="1:131">
      <c r="A47" t="s">
        <v>181</v>
      </c>
      <c r="C47" t="e">
        <f>HLOOKUP(SIMUL!$B$6,Loonschalen!$B$35:$EA$36,2,FALSE)</f>
        <v>#N/A</v>
      </c>
      <c r="D47" t="e">
        <f>HLOOKUP(SIMUL!$B$6,Loonschalen!$B$35:$EA$37,3,FALSE)</f>
        <v>#N/A</v>
      </c>
      <c r="E47" t="e">
        <f>HLOOKUP(SIMUL!$B$6,Loonschalen!$B$35:$EA$38,4,FALSE)</f>
        <v>#N/A</v>
      </c>
      <c r="F47" t="e">
        <f>HLOOKUP(SIMUL!$B$6,Loonschalen!$B$35:$EA$39,5,FALSE)</f>
        <v>#N/A</v>
      </c>
      <c r="G47" t="e">
        <f>HLOOKUP(SIMUL!$B$6,Loonschalen!$B$35:$EA$40,6,FALSE)</f>
        <v>#N/A</v>
      </c>
      <c r="H47" t="e">
        <f>HLOOKUP(SIMUL!$B$6,Loonschalen!$B$35:$EA$41,7,FALSE)</f>
        <v>#N/A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AR47"/>
      <c r="AS47"/>
      <c r="AT47"/>
      <c r="AU47"/>
      <c r="AV47"/>
      <c r="AW47"/>
      <c r="BC47" s="5"/>
      <c r="BD47" s="5"/>
      <c r="BE47" s="5"/>
      <c r="BF47" s="5"/>
      <c r="BG47" s="5"/>
      <c r="BH47" s="5"/>
    </row>
    <row r="48" spans="1:131">
      <c r="A48" t="s">
        <v>182</v>
      </c>
      <c r="C48">
        <f>HLOOKUP(SIMUL!$B$30,Loonschalen!$A$35:$EA$36,2,FALSE)</f>
        <v>0</v>
      </c>
      <c r="D48">
        <f>HLOOKUP(SIMUL!$B$30,Loonschalen!$A$35:$EA$37,3,FALSE)</f>
        <v>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AR48"/>
      <c r="AS48"/>
      <c r="AT48"/>
      <c r="AU48"/>
      <c r="AV48"/>
      <c r="AW48"/>
      <c r="BC48" s="5"/>
      <c r="BD48" s="5"/>
      <c r="BE48" s="5"/>
      <c r="BF48" s="5"/>
      <c r="BG48" s="5"/>
      <c r="BH48" s="5"/>
    </row>
    <row r="49" spans="3:60">
      <c r="C49" t="e">
        <f>C48-C47</f>
        <v>#N/A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AR49"/>
      <c r="AS49"/>
      <c r="AT49"/>
      <c r="AU49"/>
      <c r="AV49"/>
      <c r="AW49"/>
      <c r="BC49" s="5"/>
      <c r="BD49" s="5"/>
      <c r="BE49" s="5"/>
      <c r="BF49" s="5"/>
      <c r="BG49" s="5"/>
      <c r="BH49" s="5"/>
    </row>
  </sheetData>
  <sheetProtection algorithmName="SHA-512" hashValue="irQ5PCuF/+rm/p6Npnx+vAQ8s4AJRYwr03vaYuD8/dvvkK+px1LSeEV5sO1ImT5T0SESdskV/cFaVngIVKqtxA==" saltValue="VEOt2/cdHyLrFeN7AcSaFA==" spinCount="100000" sheet="1" objects="1" scenarios="1"/>
  <phoneticPr fontId="4" type="noConversion"/>
  <pageMargins left="0.7" right="0.7" top="0.75" bottom="0.75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A0C-109B-4BC5-9FD4-5155720D64DE}">
  <dimension ref="A1:AK61"/>
  <sheetViews>
    <sheetView workbookViewId="0">
      <selection activeCell="B15" sqref="B15"/>
    </sheetView>
  </sheetViews>
  <sheetFormatPr defaultRowHeight="14.4"/>
  <cols>
    <col min="1" max="1" width="20.33203125" bestFit="1" customWidth="1"/>
    <col min="2" max="2" width="20.109375" customWidth="1"/>
    <col min="20" max="20" width="33.33203125" customWidth="1"/>
    <col min="21" max="21" width="10.6640625" customWidth="1"/>
    <col min="22" max="22" width="21.109375" bestFit="1" customWidth="1"/>
    <col min="23" max="23" width="11.5546875" customWidth="1"/>
    <col min="30" max="30" width="16.109375" bestFit="1" customWidth="1"/>
    <col min="31" max="31" width="12" bestFit="1" customWidth="1"/>
  </cols>
  <sheetData>
    <row r="1" spans="1:28" ht="15.6" thickTop="1" thickBot="1">
      <c r="A1" s="390" t="s">
        <v>556</v>
      </c>
      <c r="B1" s="391"/>
      <c r="C1" s="392"/>
      <c r="D1" s="392"/>
      <c r="E1" s="393"/>
      <c r="I1" s="394" t="s">
        <v>234</v>
      </c>
      <c r="J1" s="395"/>
      <c r="K1" s="395"/>
      <c r="L1" s="395"/>
      <c r="M1" s="395"/>
      <c r="N1" s="396"/>
      <c r="T1" s="381" t="s">
        <v>553</v>
      </c>
      <c r="U1" s="382"/>
      <c r="V1" s="382"/>
      <c r="W1" s="383"/>
      <c r="X1" s="146"/>
      <c r="Y1" s="146"/>
    </row>
    <row r="2" spans="1:28" ht="15" thickBot="1">
      <c r="A2" s="384"/>
      <c r="B2" s="385"/>
      <c r="C2" s="385"/>
      <c r="D2" s="385"/>
      <c r="E2" s="386"/>
      <c r="I2" s="395"/>
      <c r="J2" s="395"/>
      <c r="K2" s="395"/>
      <c r="L2" s="395"/>
      <c r="M2" s="395"/>
      <c r="N2" s="396"/>
      <c r="T2" s="384"/>
      <c r="U2" s="385"/>
      <c r="V2" s="385"/>
      <c r="W2" s="386"/>
      <c r="Y2">
        <f ca="1">YEAR(SIMUL!B4)</f>
        <v>2026</v>
      </c>
    </row>
    <row r="3" spans="1:28" ht="15" thickBot="1">
      <c r="A3" s="375" t="s">
        <v>235</v>
      </c>
      <c r="B3" s="376"/>
      <c r="C3" s="93">
        <f ca="1">'SIMUL SSGPI'!B3</f>
        <v>2.1646999999999998</v>
      </c>
      <c r="D3" s="5"/>
      <c r="E3" s="5"/>
      <c r="I3" s="397" t="s">
        <v>236</v>
      </c>
      <c r="J3" s="399" t="s">
        <v>237</v>
      </c>
      <c r="K3" s="399" t="s">
        <v>238</v>
      </c>
      <c r="L3" s="397" t="s">
        <v>239</v>
      </c>
      <c r="M3" s="397" t="s">
        <v>240</v>
      </c>
      <c r="N3" s="400" t="s">
        <v>241</v>
      </c>
      <c r="T3" s="147" t="s">
        <v>235</v>
      </c>
      <c r="U3" s="148">
        <f ca="1">C3</f>
        <v>2.1646999999999998</v>
      </c>
      <c r="V3" s="149" t="s">
        <v>268</v>
      </c>
      <c r="W3" s="150" t="e">
        <f>IF(Loonschalen!C47=7,"d","")</f>
        <v>#N/A</v>
      </c>
    </row>
    <row r="4" spans="1:28" ht="15" thickBot="1">
      <c r="A4" s="377" t="s">
        <v>39</v>
      </c>
      <c r="B4" s="378"/>
      <c r="C4" s="96" t="e">
        <f ca="1">'SIMUL SSGPI'!B5</f>
        <v>#N/A</v>
      </c>
      <c r="D4" s="5" t="e">
        <f ca="1">C4*C3/12</f>
        <v>#N/A</v>
      </c>
      <c r="E4" s="5"/>
      <c r="I4" s="398"/>
      <c r="J4" s="398"/>
      <c r="K4" s="398"/>
      <c r="L4" s="398"/>
      <c r="M4" s="398"/>
      <c r="N4" s="401"/>
      <c r="T4" s="151" t="s">
        <v>39</v>
      </c>
      <c r="U4" s="152" t="e">
        <f ca="1">C4</f>
        <v>#N/A</v>
      </c>
      <c r="V4" s="5" t="e">
        <f ca="1">U4*U3*0.025*U14</f>
        <v>#N/A</v>
      </c>
      <c r="W4" s="5"/>
    </row>
    <row r="5" spans="1:28" ht="15" thickBot="1">
      <c r="A5" s="379" t="s">
        <v>266</v>
      </c>
      <c r="B5" s="380"/>
      <c r="C5" s="98">
        <f ca="1">'SIMUL SSGPI'!B15</f>
        <v>0</v>
      </c>
      <c r="D5" s="5">
        <f ca="1">C5*C3/12</f>
        <v>0</v>
      </c>
      <c r="E5" s="5"/>
      <c r="I5" s="398"/>
      <c r="J5" s="398"/>
      <c r="K5" s="398"/>
      <c r="L5" s="398"/>
      <c r="M5" s="398"/>
      <c r="N5" s="401"/>
      <c r="T5" s="151" t="s">
        <v>269</v>
      </c>
      <c r="U5" s="153">
        <f ca="1">C5</f>
        <v>0</v>
      </c>
      <c r="V5" s="5">
        <f ca="1">AH5*U3*0.025*U14</f>
        <v>0</v>
      </c>
      <c r="W5" s="5"/>
      <c r="AB5" s="425" t="s">
        <v>672</v>
      </c>
    </row>
    <row r="6" spans="1:28" ht="15" thickBot="1">
      <c r="A6" s="94" t="s">
        <v>242</v>
      </c>
      <c r="B6" s="99"/>
      <c r="C6" s="96">
        <f>'SIMUL SSGPI'!B6</f>
        <v>0</v>
      </c>
      <c r="D6" s="5">
        <f ca="1">C6*C3/12</f>
        <v>0</v>
      </c>
      <c r="E6" s="5"/>
      <c r="I6" s="100" t="s">
        <v>243</v>
      </c>
      <c r="J6" s="101">
        <v>1</v>
      </c>
      <c r="K6" s="102">
        <v>0</v>
      </c>
      <c r="L6" s="102">
        <v>38</v>
      </c>
      <c r="M6" s="103">
        <f>(J6/(J6+K6))*L6/38</f>
        <v>1</v>
      </c>
      <c r="N6" s="104">
        <f t="shared" ref="N6:N21" si="0">M6/12</f>
        <v>8.3333333333333329E-2</v>
      </c>
      <c r="T6" s="154" t="s">
        <v>270</v>
      </c>
      <c r="U6" s="152">
        <f>C6</f>
        <v>0</v>
      </c>
      <c r="V6" s="5">
        <f ca="1">U6*U3*0.025*U14</f>
        <v>0</v>
      </c>
      <c r="W6" s="5"/>
    </row>
    <row r="7" spans="1:28" ht="15.6" thickTop="1" thickBot="1">
      <c r="A7" s="94"/>
      <c r="B7" s="105"/>
      <c r="C7" s="98"/>
      <c r="D7" s="5">
        <f ca="1">C7*C3/12</f>
        <v>0</v>
      </c>
      <c r="E7" s="106"/>
      <c r="F7" s="107"/>
      <c r="G7" s="108"/>
      <c r="I7" s="100" t="s">
        <v>244</v>
      </c>
      <c r="J7" s="109">
        <v>1</v>
      </c>
      <c r="K7" s="110">
        <v>0</v>
      </c>
      <c r="L7" s="110">
        <f t="shared" ref="L7:L14" si="1">L6</f>
        <v>38</v>
      </c>
      <c r="M7" s="111">
        <f t="shared" ref="M7:M21" si="2">(J7/(J7+K7))*L7/38</f>
        <v>1</v>
      </c>
      <c r="N7" s="112">
        <f t="shared" si="0"/>
        <v>8.3333333333333329E-2</v>
      </c>
      <c r="T7" s="151" t="s">
        <v>271</v>
      </c>
      <c r="U7" s="426">
        <f ca="1">ROUND(VLOOKUP(Y2,AA47:AG75,4,TRUE),2)</f>
        <v>440.35</v>
      </c>
      <c r="V7" s="5">
        <f ca="1">U7*U14</f>
        <v>440.35</v>
      </c>
      <c r="W7" s="155" t="e">
        <f ca="1">V4+V5+V6+V7</f>
        <v>#N/A</v>
      </c>
      <c r="X7" s="419" t="s">
        <v>272</v>
      </c>
      <c r="Y7" s="409" t="e">
        <f ca="1">W8+W7</f>
        <v>#N/A</v>
      </c>
    </row>
    <row r="8" spans="1:28" ht="15" thickBot="1">
      <c r="A8" s="113"/>
      <c r="B8" s="95"/>
      <c r="C8" s="96"/>
      <c r="D8" s="5">
        <f>C8/12</f>
        <v>0</v>
      </c>
      <c r="E8" s="106"/>
      <c r="F8" s="68"/>
      <c r="G8" s="114"/>
      <c r="I8" s="100" t="s">
        <v>245</v>
      </c>
      <c r="J8" s="109">
        <v>1</v>
      </c>
      <c r="K8" s="110">
        <v>0</v>
      </c>
      <c r="L8" s="110">
        <f t="shared" si="1"/>
        <v>38</v>
      </c>
      <c r="M8" s="111">
        <f t="shared" si="2"/>
        <v>1</v>
      </c>
      <c r="N8" s="112">
        <f t="shared" si="0"/>
        <v>8.3333333333333329E-2</v>
      </c>
      <c r="T8" s="156"/>
      <c r="U8" s="426">
        <f ca="1">ROUND(VLOOKUP(Y2,AA47:AG75,5,TRUE),2)</f>
        <v>497.21</v>
      </c>
      <c r="V8" s="5"/>
      <c r="W8" s="157">
        <f ca="1">U8*U14</f>
        <v>497.21</v>
      </c>
      <c r="X8" s="420"/>
      <c r="Y8" s="410"/>
      <c r="AA8">
        <f>1.02*1.02*1.02*1.02*1.02*1.02*1.02*1.02*1.02*1.02*1.02</f>
        <v>1.2433743083946525</v>
      </c>
    </row>
    <row r="9" spans="1:28" ht="15" thickBot="1">
      <c r="A9" s="97" t="s">
        <v>246</v>
      </c>
      <c r="B9" s="95"/>
      <c r="C9" s="115">
        <f ca="1">breuk*'SIMUL SSGPI'!B8/'SIMUL SSGPI'!B9</f>
        <v>1</v>
      </c>
      <c r="I9" s="100" t="s">
        <v>247</v>
      </c>
      <c r="J9" s="109">
        <v>1</v>
      </c>
      <c r="K9" s="110">
        <v>0</v>
      </c>
      <c r="L9" s="110">
        <f t="shared" si="1"/>
        <v>38</v>
      </c>
      <c r="M9" s="111">
        <f t="shared" si="2"/>
        <v>1</v>
      </c>
      <c r="N9" s="112">
        <f t="shared" si="0"/>
        <v>8.3333333333333329E-2</v>
      </c>
      <c r="T9" s="411" t="s">
        <v>273</v>
      </c>
      <c r="U9" s="412"/>
      <c r="V9" s="412"/>
      <c r="W9" s="413"/>
      <c r="AA9" s="84">
        <f ca="1">C3</f>
        <v>2.1646999999999998</v>
      </c>
    </row>
    <row r="10" spans="1:28" ht="15" thickBot="1">
      <c r="A10" s="116"/>
      <c r="C10" s="5"/>
      <c r="D10" s="117"/>
      <c r="E10" s="5"/>
      <c r="I10" s="100" t="s">
        <v>248</v>
      </c>
      <c r="J10" s="109">
        <v>1</v>
      </c>
      <c r="K10" s="110">
        <v>0</v>
      </c>
      <c r="L10" s="110">
        <f t="shared" si="1"/>
        <v>38</v>
      </c>
      <c r="M10" s="111">
        <f t="shared" si="2"/>
        <v>1</v>
      </c>
      <c r="N10" s="112">
        <f t="shared" si="0"/>
        <v>8.3333333333333329E-2</v>
      </c>
      <c r="T10" s="158" t="s">
        <v>274</v>
      </c>
      <c r="U10" s="98" t="e">
        <f ca="1">(U4+AH5+U6)*U3/12*0.07</f>
        <v>#N/A</v>
      </c>
      <c r="V10" s="414" t="s">
        <v>275</v>
      </c>
      <c r="W10" s="5"/>
      <c r="AA10">
        <f>100/1.2936</f>
        <v>77.303648732220154</v>
      </c>
    </row>
    <row r="11" spans="1:28" ht="15" thickBot="1">
      <c r="A11" s="387" t="s">
        <v>249</v>
      </c>
      <c r="B11" s="388"/>
      <c r="C11" s="389" t="e">
        <f ca="1">ROUND(((D4+D5+D6)*C9+D8)*0.92,2)</f>
        <v>#N/A</v>
      </c>
      <c r="D11" s="389"/>
      <c r="E11" s="389"/>
      <c r="I11" s="100" t="s">
        <v>250</v>
      </c>
      <c r="J11" s="109">
        <v>1</v>
      </c>
      <c r="K11" s="110">
        <v>0</v>
      </c>
      <c r="L11" s="110">
        <f t="shared" si="1"/>
        <v>38</v>
      </c>
      <c r="M11" s="111">
        <f t="shared" si="2"/>
        <v>1</v>
      </c>
      <c r="N11" s="112">
        <f t="shared" si="0"/>
        <v>8.3333333333333329E-2</v>
      </c>
      <c r="T11" s="159" t="s">
        <v>276</v>
      </c>
      <c r="U11" s="98">
        <f ca="1">V26*U3</f>
        <v>218.526465</v>
      </c>
      <c r="V11" s="415"/>
      <c r="W11" s="160" t="e">
        <f ca="1">IF(U10&lt;U11,U11,(IF(U10&gt;U12,U12,U10)))</f>
        <v>#N/A</v>
      </c>
      <c r="AA11">
        <f ca="1">AA10*AA9</f>
        <v>167.33920841063696</v>
      </c>
    </row>
    <row r="12" spans="1:28" ht="15" thickBot="1">
      <c r="A12" s="118"/>
      <c r="C12" s="389"/>
      <c r="D12" s="389"/>
      <c r="E12" s="389"/>
      <c r="I12" s="100" t="s">
        <v>251</v>
      </c>
      <c r="J12" s="109">
        <v>1</v>
      </c>
      <c r="K12" s="110">
        <v>0</v>
      </c>
      <c r="L12" s="110">
        <f t="shared" si="1"/>
        <v>38</v>
      </c>
      <c r="M12" s="111">
        <f t="shared" si="2"/>
        <v>1</v>
      </c>
      <c r="N12" s="112">
        <f t="shared" si="0"/>
        <v>8.3333333333333329E-2</v>
      </c>
      <c r="T12" s="159" t="s">
        <v>198</v>
      </c>
      <c r="U12" s="98">
        <f ca="1">V27*U3</f>
        <v>437.05293</v>
      </c>
      <c r="V12" s="415"/>
      <c r="W12" s="155" t="e">
        <f ca="1">W11*U14</f>
        <v>#N/A</v>
      </c>
    </row>
    <row r="13" spans="1:28" ht="15" thickBot="1">
      <c r="A13" s="118"/>
      <c r="C13" s="5"/>
      <c r="D13" s="5"/>
      <c r="E13" s="106"/>
      <c r="I13" s="119" t="s">
        <v>252</v>
      </c>
      <c r="J13" s="120">
        <v>1</v>
      </c>
      <c r="K13" s="121">
        <v>0</v>
      </c>
      <c r="L13" s="110">
        <f t="shared" si="1"/>
        <v>38</v>
      </c>
      <c r="M13" s="122">
        <f t="shared" si="2"/>
        <v>1</v>
      </c>
      <c r="N13" s="123">
        <f t="shared" si="0"/>
        <v>8.3333333333333329E-2</v>
      </c>
      <c r="T13" s="151" t="s">
        <v>277</v>
      </c>
      <c r="U13" s="98" t="e">
        <f ca="1">IF(U14&gt;0.5,AA13,IF(U14=0,0,AA13/2))</f>
        <v>#N/A</v>
      </c>
      <c r="V13" s="5"/>
      <c r="W13" s="5"/>
      <c r="Y13" s="5"/>
      <c r="AA13" s="169" t="e">
        <f>IF(W3="d",AA10*U3,0)</f>
        <v>#N/A</v>
      </c>
    </row>
    <row r="14" spans="1:28" ht="15" thickBot="1">
      <c r="A14" s="387" t="s">
        <v>253</v>
      </c>
      <c r="B14" s="388"/>
      <c r="C14" s="421" t="e">
        <f ca="1">ROUND(C11-C11*0.1307,2)</f>
        <v>#N/A</v>
      </c>
      <c r="D14" s="421"/>
      <c r="E14" s="421"/>
      <c r="I14" s="100" t="s">
        <v>254</v>
      </c>
      <c r="J14" s="125">
        <v>1</v>
      </c>
      <c r="K14" s="110">
        <v>0</v>
      </c>
      <c r="L14" s="110">
        <f t="shared" si="1"/>
        <v>38</v>
      </c>
      <c r="M14" s="111">
        <f t="shared" si="2"/>
        <v>1</v>
      </c>
      <c r="N14" s="112">
        <f t="shared" si="0"/>
        <v>8.3333333333333329E-2</v>
      </c>
      <c r="T14" s="147" t="s">
        <v>246</v>
      </c>
      <c r="U14" s="115">
        <f ca="1">C9</f>
        <v>1</v>
      </c>
      <c r="V14" s="5"/>
      <c r="W14" s="5"/>
    </row>
    <row r="15" spans="1:28" ht="15" thickBot="1">
      <c r="A15" s="126" t="s">
        <v>255</v>
      </c>
      <c r="B15" s="93">
        <f ca="1">C3</f>
        <v>2.1646999999999998</v>
      </c>
      <c r="C15" s="421"/>
      <c r="D15" s="421"/>
      <c r="E15" s="421"/>
      <c r="I15" s="100" t="s">
        <v>256</v>
      </c>
      <c r="J15" s="125">
        <v>1</v>
      </c>
      <c r="K15" s="110">
        <v>0</v>
      </c>
      <c r="L15" s="110">
        <f>L14</f>
        <v>38</v>
      </c>
      <c r="M15" s="111">
        <f t="shared" si="2"/>
        <v>1</v>
      </c>
      <c r="N15" s="112">
        <f t="shared" si="0"/>
        <v>8.3333333333333329E-2</v>
      </c>
      <c r="T15" s="161"/>
      <c r="U15" s="5"/>
      <c r="V15" s="8"/>
      <c r="W15" s="5"/>
    </row>
    <row r="16" spans="1:28" ht="15" thickBot="1">
      <c r="A16" s="118"/>
      <c r="B16" s="92" t="s">
        <v>257</v>
      </c>
      <c r="C16" s="124"/>
      <c r="D16" s="124"/>
      <c r="E16" s="124"/>
      <c r="I16" s="100" t="s">
        <v>258</v>
      </c>
      <c r="J16" s="125">
        <v>1</v>
      </c>
      <c r="K16" s="110">
        <v>0</v>
      </c>
      <c r="L16" s="110">
        <f>L15</f>
        <v>38</v>
      </c>
      <c r="M16" s="111">
        <f t="shared" si="2"/>
        <v>1</v>
      </c>
      <c r="N16" s="112">
        <f t="shared" si="0"/>
        <v>8.3333333333333329E-2</v>
      </c>
      <c r="T16" s="162" t="s">
        <v>278</v>
      </c>
      <c r="U16" s="5"/>
      <c r="V16" s="163" t="s">
        <v>272</v>
      </c>
      <c r="W16" s="155" t="e">
        <f ca="1">W7+W8+W12+U13</f>
        <v>#N/A</v>
      </c>
    </row>
    <row r="17" spans="1:25" ht="15" thickBot="1">
      <c r="A17" s="127" t="s">
        <v>259</v>
      </c>
      <c r="B17" s="128" t="e">
        <f ca="1">B44</f>
        <v>#N/A</v>
      </c>
      <c r="C17" s="422" t="e">
        <f ca="1">ROUND(C14*B17,2)</f>
        <v>#N/A</v>
      </c>
      <c r="D17" s="421"/>
      <c r="E17" s="421"/>
      <c r="I17" s="100" t="s">
        <v>260</v>
      </c>
      <c r="J17" s="125">
        <v>1</v>
      </c>
      <c r="K17" s="110">
        <v>0</v>
      </c>
      <c r="L17" s="110">
        <f>L16</f>
        <v>38</v>
      </c>
      <c r="M17" s="111">
        <f t="shared" si="2"/>
        <v>1</v>
      </c>
      <c r="N17" s="112">
        <f t="shared" si="0"/>
        <v>8.3333333333333329E-2</v>
      </c>
      <c r="T17" s="127" t="s">
        <v>279</v>
      </c>
      <c r="U17" s="21" t="e">
        <f ca="1">0.0355*(W8+W12+U13)</f>
        <v>#N/A</v>
      </c>
      <c r="V17" s="164" t="s">
        <v>280</v>
      </c>
      <c r="W17" s="21" t="e">
        <f ca="1">W16*0.1307</f>
        <v>#N/A</v>
      </c>
    </row>
    <row r="18" spans="1:25" ht="15" thickBot="1">
      <c r="A18" s="118"/>
      <c r="C18" s="124"/>
      <c r="D18" s="124"/>
      <c r="E18" s="124"/>
      <c r="I18" s="129" t="s">
        <v>261</v>
      </c>
      <c r="J18" s="125">
        <v>0</v>
      </c>
      <c r="K18" s="110">
        <v>1</v>
      </c>
      <c r="L18" s="110">
        <v>0</v>
      </c>
      <c r="M18" s="111">
        <f t="shared" si="2"/>
        <v>0</v>
      </c>
      <c r="N18" s="112">
        <f t="shared" si="0"/>
        <v>0</v>
      </c>
      <c r="T18" s="127" t="s">
        <v>281</v>
      </c>
      <c r="U18" s="21" t="e">
        <f ca="1">0.011*(W8+W12+U13)</f>
        <v>#N/A</v>
      </c>
      <c r="V18" s="164" t="s">
        <v>282</v>
      </c>
      <c r="W18" s="21" t="e">
        <f ca="1">W16*0.011</f>
        <v>#N/A</v>
      </c>
    </row>
    <row r="19" spans="1:25" ht="15" thickBot="1">
      <c r="A19" s="118"/>
      <c r="C19" s="124"/>
      <c r="D19" s="124"/>
      <c r="E19" s="124"/>
      <c r="I19" s="129" t="s">
        <v>261</v>
      </c>
      <c r="J19" s="125">
        <v>0</v>
      </c>
      <c r="K19" s="110">
        <v>1</v>
      </c>
      <c r="L19" s="110">
        <v>0</v>
      </c>
      <c r="M19" s="111">
        <f t="shared" si="2"/>
        <v>0</v>
      </c>
      <c r="N19" s="112">
        <f t="shared" si="0"/>
        <v>0</v>
      </c>
      <c r="T19" s="127" t="s">
        <v>283</v>
      </c>
      <c r="U19" s="21" t="e">
        <f ca="1">(W16-U17)*U57</f>
        <v>#N/A</v>
      </c>
      <c r="V19" s="164" t="s">
        <v>284</v>
      </c>
      <c r="W19" s="21" t="e">
        <f ca="1">(W16-W17)*U57</f>
        <v>#N/A</v>
      </c>
    </row>
    <row r="20" spans="1:25" ht="15.6" thickTop="1" thickBot="1">
      <c r="A20" s="387" t="s">
        <v>262</v>
      </c>
      <c r="B20" s="402"/>
      <c r="C20" s="403" t="e">
        <f ca="1">C14-C17</f>
        <v>#N/A</v>
      </c>
      <c r="D20" s="404"/>
      <c r="E20" s="405"/>
      <c r="I20" s="129" t="s">
        <v>261</v>
      </c>
      <c r="J20" s="125">
        <v>0</v>
      </c>
      <c r="K20" s="110">
        <v>1</v>
      </c>
      <c r="L20" s="110">
        <v>0</v>
      </c>
      <c r="M20" s="111">
        <f t="shared" si="2"/>
        <v>0</v>
      </c>
      <c r="N20" s="112">
        <f t="shared" si="0"/>
        <v>0</v>
      </c>
      <c r="T20" s="165" t="s">
        <v>285</v>
      </c>
      <c r="U20" s="166" t="e">
        <f ca="1">ROUND(W16-U17-U18-U19,2)</f>
        <v>#N/A</v>
      </c>
      <c r="V20" s="167" t="s">
        <v>286</v>
      </c>
      <c r="W20" s="166" t="e">
        <f ca="1">ROUND(W16-W17-W18-W19,2)</f>
        <v>#N/A</v>
      </c>
      <c r="X20" s="138"/>
      <c r="Y20" s="138"/>
    </row>
    <row r="21" spans="1:25" ht="15" thickBot="1">
      <c r="A21" s="118"/>
      <c r="C21" s="406"/>
      <c r="D21" s="407"/>
      <c r="E21" s="408"/>
      <c r="I21" s="130" t="s">
        <v>261</v>
      </c>
      <c r="J21" s="131">
        <v>0</v>
      </c>
      <c r="K21" s="121">
        <v>1</v>
      </c>
      <c r="L21" s="121">
        <v>0</v>
      </c>
      <c r="M21" s="111">
        <f t="shared" si="2"/>
        <v>0</v>
      </c>
      <c r="N21" s="112">
        <f t="shared" si="0"/>
        <v>0</v>
      </c>
      <c r="U21" s="5"/>
      <c r="V21" s="5"/>
      <c r="W21" s="5"/>
    </row>
    <row r="22" spans="1:25" ht="15.6" thickTop="1" thickBot="1">
      <c r="A22" s="118"/>
      <c r="C22" s="5"/>
      <c r="D22" s="5"/>
      <c r="E22" s="5"/>
      <c r="I22" s="423" t="s">
        <v>263</v>
      </c>
      <c r="J22" s="423"/>
      <c r="K22" s="423"/>
      <c r="L22" s="423"/>
      <c r="M22" s="423"/>
      <c r="N22" s="132">
        <f>SUM(N6:N21)</f>
        <v>1</v>
      </c>
      <c r="T22" s="11" t="s">
        <v>69</v>
      </c>
      <c r="U22" s="11"/>
      <c r="V22" s="12">
        <f>IF($B$4&lt;16100.01,720,(IF($B$4&lt;16460,(16460-$B$4)+360,(IF($B$4&lt;18330.01,360,(IF($B$4&lt;18690,(18690-$B$4),0)))))))</f>
        <v>720</v>
      </c>
      <c r="W22" s="5"/>
      <c r="X22" s="5"/>
    </row>
    <row r="23" spans="1:25" ht="15" thickBot="1">
      <c r="A23" s="118"/>
      <c r="C23" s="5"/>
      <c r="D23" s="5"/>
      <c r="E23" s="5"/>
      <c r="I23" s="73"/>
      <c r="J23" s="73"/>
      <c r="K23" s="73"/>
      <c r="L23" s="73"/>
      <c r="M23" s="73"/>
      <c r="N23" s="133"/>
      <c r="T23" s="11" t="s">
        <v>70</v>
      </c>
      <c r="U23" s="11"/>
      <c r="V23" s="12">
        <f>IF($B$4&lt;16100.01,360,(IF($B$4&lt;16294.6,((16294.59-$B$4)*0.925)+180,(IF($B$4&lt;18330.01,180,(IF($B$4&lt;18524.6,(18524.59-$B$4)*0.925,0)))))))</f>
        <v>360</v>
      </c>
      <c r="W23" s="5"/>
      <c r="X23" s="5"/>
    </row>
    <row r="24" spans="1:25" ht="54" thickBot="1">
      <c r="A24" s="118"/>
      <c r="C24" s="5"/>
      <c r="D24" s="5"/>
      <c r="E24" s="5"/>
      <c r="I24" s="134" t="s">
        <v>236</v>
      </c>
      <c r="J24" s="135" t="s">
        <v>237</v>
      </c>
      <c r="K24" s="135" t="s">
        <v>238</v>
      </c>
      <c r="L24" s="134" t="s">
        <v>264</v>
      </c>
      <c r="M24" s="134" t="s">
        <v>240</v>
      </c>
      <c r="N24" s="136" t="s">
        <v>39</v>
      </c>
      <c r="U24" s="5"/>
      <c r="V24" s="5"/>
      <c r="W24" s="5"/>
    </row>
    <row r="25" spans="1:25" ht="15" thickBot="1">
      <c r="A25" s="137"/>
      <c r="B25" s="138"/>
      <c r="C25" s="139"/>
      <c r="D25" s="139"/>
      <c r="E25" s="139"/>
      <c r="F25" s="138"/>
      <c r="G25" s="138"/>
      <c r="H25" s="138"/>
      <c r="I25" s="140" t="s">
        <v>265</v>
      </c>
      <c r="J25" s="141">
        <v>1</v>
      </c>
      <c r="K25" s="142">
        <v>0</v>
      </c>
      <c r="L25" s="142">
        <f>L17</f>
        <v>38</v>
      </c>
      <c r="M25" s="143">
        <f>(J25/(J25+K25))*L25/38</f>
        <v>1</v>
      </c>
      <c r="N25" s="144" t="e">
        <f ca="1">C4</f>
        <v>#N/A</v>
      </c>
      <c r="T25" t="s">
        <v>287</v>
      </c>
      <c r="U25" s="5"/>
      <c r="V25" s="5"/>
      <c r="W25" s="5"/>
    </row>
    <row r="26" spans="1:25" ht="15" thickTop="1">
      <c r="T26" t="s">
        <v>288</v>
      </c>
      <c r="U26" s="5"/>
      <c r="V26" s="5">
        <v>100.95</v>
      </c>
      <c r="W26" s="5"/>
    </row>
    <row r="27" spans="1:25">
      <c r="T27" t="s">
        <v>289</v>
      </c>
      <c r="U27" s="168"/>
      <c r="V27" s="5">
        <v>201.9</v>
      </c>
      <c r="W27" s="5"/>
    </row>
    <row r="28" spans="1:25">
      <c r="U28" s="5"/>
      <c r="V28" s="5"/>
      <c r="W28" s="5"/>
    </row>
    <row r="29" spans="1:25" ht="15" thickBot="1">
      <c r="A29" s="145" t="s">
        <v>259</v>
      </c>
      <c r="B29" s="5"/>
      <c r="T29" s="416" t="s">
        <v>290</v>
      </c>
      <c r="U29" s="417"/>
      <c r="V29" s="417"/>
      <c r="W29" s="417"/>
    </row>
    <row r="30" spans="1:25" ht="15" thickTop="1">
      <c r="A30" s="424">
        <v>0</v>
      </c>
      <c r="B30" s="84">
        <v>0</v>
      </c>
      <c r="U30" s="5"/>
      <c r="V30" s="5"/>
      <c r="W30" s="5"/>
    </row>
    <row r="31" spans="1:25">
      <c r="A31" s="424">
        <f>ROUNDUP(10415.01/12,2)</f>
        <v>867.92</v>
      </c>
      <c r="B31" s="84">
        <v>0.19170000000000001</v>
      </c>
      <c r="T31" t="s">
        <v>291</v>
      </c>
      <c r="U31" s="5"/>
      <c r="V31" s="5"/>
      <c r="W31" s="5"/>
    </row>
    <row r="32" spans="1:25">
      <c r="A32" s="424">
        <f>ROUNDUP(13300.01/12,2)</f>
        <v>1108.3399999999999</v>
      </c>
      <c r="B32" s="84">
        <v>0.21199999999999999</v>
      </c>
      <c r="T32" t="s">
        <v>292</v>
      </c>
      <c r="U32" s="5"/>
      <c r="V32" s="5"/>
      <c r="W32" s="5"/>
    </row>
    <row r="33" spans="1:33">
      <c r="A33" s="424">
        <f>ROUNDUP(16960.01/12,2)</f>
        <v>1413.34</v>
      </c>
      <c r="B33" s="84">
        <v>0.26250000000000001</v>
      </c>
      <c r="T33" t="s">
        <v>293</v>
      </c>
      <c r="U33" s="5"/>
      <c r="V33" s="5"/>
      <c r="W33" s="5"/>
    </row>
    <row r="34" spans="1:33">
      <c r="A34" s="424">
        <f>ROUNDUP(20340.01/12,2)</f>
        <v>1695.01</v>
      </c>
      <c r="B34" s="84">
        <v>0.313</v>
      </c>
      <c r="T34" t="s">
        <v>294</v>
      </c>
      <c r="U34" s="5"/>
      <c r="V34" s="5"/>
      <c r="W34" s="5"/>
    </row>
    <row r="35" spans="1:33">
      <c r="A35" s="424">
        <f>ROUNDUP(23020.01/12,2)</f>
        <v>1918.34</v>
      </c>
      <c r="B35" s="84">
        <v>0.34329999999999999</v>
      </c>
      <c r="T35" t="s">
        <v>295</v>
      </c>
      <c r="U35" s="5"/>
      <c r="V35" s="5"/>
      <c r="W35" s="5"/>
    </row>
    <row r="36" spans="1:33">
      <c r="A36" s="424">
        <f>ROUNDUP(25710.01/12,2)</f>
        <v>2142.5100000000002</v>
      </c>
      <c r="B36" s="84">
        <v>0.3634</v>
      </c>
      <c r="U36" s="5"/>
      <c r="V36" s="5"/>
      <c r="W36" s="5"/>
    </row>
    <row r="37" spans="1:33">
      <c r="A37" s="424">
        <f>ROUNDUP(31070.01/12,2)</f>
        <v>2589.17</v>
      </c>
      <c r="B37" s="84">
        <v>0.39369999999999999</v>
      </c>
      <c r="T37" t="s">
        <v>296</v>
      </c>
      <c r="U37" s="5"/>
      <c r="V37" s="5"/>
      <c r="W37" s="5"/>
    </row>
    <row r="38" spans="1:33">
      <c r="A38" s="424">
        <f>ROUNDUP(33810.01/12,2)</f>
        <v>2817.51</v>
      </c>
      <c r="B38" s="84">
        <v>0.4239</v>
      </c>
      <c r="T38" t="s">
        <v>297</v>
      </c>
      <c r="U38" s="5"/>
      <c r="V38" s="5"/>
      <c r="W38" s="5"/>
    </row>
    <row r="39" spans="1:33">
      <c r="A39" s="424">
        <f>ROUNDUP(44770.01/12,2)</f>
        <v>3730.84</v>
      </c>
      <c r="B39" s="84">
        <v>0.47439999999999999</v>
      </c>
      <c r="U39" s="5"/>
      <c r="V39" s="5"/>
      <c r="W39" s="5"/>
    </row>
    <row r="40" spans="1:33">
      <c r="A40" s="424">
        <f>ROUNDUP(58460.01/12,2)</f>
        <v>4871.67</v>
      </c>
      <c r="B40" s="84">
        <v>0.53500000000000003</v>
      </c>
      <c r="U40" s="5"/>
      <c r="V40" s="5"/>
      <c r="W40" s="5"/>
    </row>
    <row r="41" spans="1:33">
      <c r="B41" s="5"/>
      <c r="T41" t="s">
        <v>298</v>
      </c>
      <c r="U41" s="5"/>
      <c r="V41" s="5"/>
      <c r="W41" s="5"/>
    </row>
    <row r="42" spans="1:33">
      <c r="A42" t="s">
        <v>267</v>
      </c>
      <c r="B42" s="5"/>
      <c r="T42" s="5">
        <f>A30</f>
        <v>0</v>
      </c>
      <c r="U42" s="84">
        <v>0</v>
      </c>
      <c r="V42" s="5"/>
      <c r="W42" s="5"/>
      <c r="AB42">
        <f>700.1419/683.1441</f>
        <v>1.0248817196840314</v>
      </c>
      <c r="AC42">
        <f>706.68/700.1419</f>
        <v>1.0093382498604926</v>
      </c>
      <c r="AD42">
        <f>AD45/AC45</f>
        <v>1.0010032976041723</v>
      </c>
      <c r="AE42">
        <f>AE45/AD45</f>
        <v>1.0042901491119443</v>
      </c>
      <c r="AF42">
        <f>AF45/AE45</f>
        <v>1.0111266136165675</v>
      </c>
    </row>
    <row r="43" spans="1:33">
      <c r="B43" s="5"/>
      <c r="T43" s="5">
        <f t="shared" ref="T43:T52" si="3">A31</f>
        <v>867.92</v>
      </c>
      <c r="U43" s="84">
        <v>0.23219999999999999</v>
      </c>
      <c r="V43" s="5"/>
      <c r="W43" s="5"/>
      <c r="AB43">
        <v>328.82339999999999</v>
      </c>
      <c r="AC43">
        <f>AB43*AC42</f>
        <v>331.89403506917671</v>
      </c>
      <c r="AD43">
        <f>AC43*AD42</f>
        <v>332.22702355940066</v>
      </c>
      <c r="AE43">
        <f>AD43*AE42</f>
        <v>333.65232702948794</v>
      </c>
      <c r="AF43">
        <f>AE43*AF42</f>
        <v>337.3647475546137</v>
      </c>
    </row>
    <row r="44" spans="1:33">
      <c r="A44" t="e">
        <f ca="1">'SIMUL SSGPI'!D57</f>
        <v>#N/A</v>
      </c>
      <c r="B44" s="84" t="e">
        <f ca="1">VLOOKUP(A44,A30:B40,2)</f>
        <v>#N/A</v>
      </c>
      <c r="T44" s="5">
        <f t="shared" si="3"/>
        <v>1108.3399999999999</v>
      </c>
      <c r="U44" s="84">
        <v>0.25230000000000002</v>
      </c>
      <c r="V44" s="5"/>
      <c r="W44" s="5"/>
      <c r="AB44">
        <v>371.3175</v>
      </c>
      <c r="AC44">
        <f>AB44*AC42</f>
        <v>374.78495559257345</v>
      </c>
      <c r="AD44">
        <f>AC44*AD42</f>
        <v>375.16097644059931</v>
      </c>
      <c r="AE44">
        <f>AD44*AE42</f>
        <v>376.77047297051212</v>
      </c>
      <c r="AF44">
        <f>AE44*AF42</f>
        <v>380.96265244538642</v>
      </c>
    </row>
    <row r="45" spans="1:33">
      <c r="T45" s="5">
        <f t="shared" si="3"/>
        <v>1413.34</v>
      </c>
      <c r="U45" s="84">
        <v>0.30280000000000001</v>
      </c>
      <c r="V45" s="5"/>
      <c r="W45" s="5"/>
      <c r="AB45">
        <v>700.14089999999999</v>
      </c>
      <c r="AC45" s="84">
        <f>AC43+AC44</f>
        <v>706.67899066175016</v>
      </c>
      <c r="AD45" s="84">
        <v>707.38800000000003</v>
      </c>
      <c r="AE45">
        <v>710.42280000000005</v>
      </c>
      <c r="AF45">
        <v>718.32740000000001</v>
      </c>
    </row>
    <row r="46" spans="1:33">
      <c r="T46" s="5">
        <f t="shared" si="3"/>
        <v>1695.01</v>
      </c>
      <c r="U46" s="84">
        <v>0.3533</v>
      </c>
      <c r="V46" s="5"/>
      <c r="W46" s="5"/>
      <c r="AF46" s="418" t="s">
        <v>299</v>
      </c>
      <c r="AG46" s="418"/>
    </row>
    <row r="47" spans="1:33">
      <c r="T47" s="5">
        <f t="shared" si="3"/>
        <v>1918.34</v>
      </c>
      <c r="U47" s="84">
        <v>0.3836</v>
      </c>
      <c r="V47" s="5"/>
      <c r="W47" s="5"/>
      <c r="AA47">
        <v>2012</v>
      </c>
      <c r="AB47">
        <v>700.14089999999999</v>
      </c>
      <c r="AD47" s="86">
        <v>328.82339999999999</v>
      </c>
      <c r="AE47" s="86">
        <v>371.3175</v>
      </c>
    </row>
    <row r="48" spans="1:33">
      <c r="T48" s="5">
        <f t="shared" si="3"/>
        <v>2142.5100000000002</v>
      </c>
      <c r="U48" s="84">
        <v>0.40379999999999999</v>
      </c>
      <c r="V48" s="5"/>
      <c r="W48" s="5"/>
      <c r="AA48">
        <v>2013</v>
      </c>
      <c r="AB48">
        <v>706.68259999999998</v>
      </c>
      <c r="AC48">
        <v>1.0093434050203323</v>
      </c>
      <c r="AD48" s="86">
        <v>331.89573020636271</v>
      </c>
      <c r="AE48" s="86">
        <v>374.78686979363721</v>
      </c>
    </row>
    <row r="49" spans="20:37">
      <c r="T49" s="5">
        <f t="shared" si="3"/>
        <v>2589.17</v>
      </c>
      <c r="U49" s="84">
        <v>0.43409999999999999</v>
      </c>
      <c r="V49" s="5"/>
      <c r="W49" s="5"/>
      <c r="AA49">
        <v>2014</v>
      </c>
      <c r="AB49" s="84">
        <v>707.38800000000003</v>
      </c>
      <c r="AC49">
        <v>1.0009981850409222</v>
      </c>
      <c r="AD49" s="86">
        <v>332.22702355940066</v>
      </c>
      <c r="AE49" s="86">
        <v>375.16097644059926</v>
      </c>
    </row>
    <row r="50" spans="20:37">
      <c r="T50" s="5">
        <f t="shared" si="3"/>
        <v>2817.51</v>
      </c>
      <c r="U50" s="84">
        <v>0.46439999999999998</v>
      </c>
      <c r="V50" s="5"/>
      <c r="W50" s="5"/>
      <c r="AA50">
        <v>2015</v>
      </c>
      <c r="AB50" s="84">
        <v>710.42280000000005</v>
      </c>
      <c r="AC50">
        <v>1.0042901491119443</v>
      </c>
      <c r="AD50" s="86">
        <v>333.65232702948794</v>
      </c>
      <c r="AE50" s="86">
        <v>376.77047297051206</v>
      </c>
    </row>
    <row r="51" spans="20:37">
      <c r="T51" s="5">
        <f t="shared" si="3"/>
        <v>3730.84</v>
      </c>
      <c r="U51" s="84">
        <v>0.51480000000000004</v>
      </c>
      <c r="V51" s="5"/>
      <c r="W51" s="5"/>
      <c r="AA51">
        <v>2016</v>
      </c>
      <c r="AB51" s="84">
        <v>718.32740000000001</v>
      </c>
      <c r="AC51">
        <v>1.0111266136165675</v>
      </c>
      <c r="AD51" s="86">
        <v>337.36470000000003</v>
      </c>
      <c r="AE51" s="86">
        <v>380.96265244538637</v>
      </c>
      <c r="AK51">
        <v>101.78</v>
      </c>
    </row>
    <row r="52" spans="20:37">
      <c r="T52" s="5">
        <f t="shared" si="3"/>
        <v>4871.67</v>
      </c>
      <c r="U52" s="84">
        <v>0.53500000000000003</v>
      </c>
      <c r="V52" s="5"/>
      <c r="W52" s="5"/>
      <c r="AA52">
        <v>2017</v>
      </c>
      <c r="AB52" s="84">
        <v>730.81</v>
      </c>
      <c r="AD52" s="86">
        <v>343.23160000000001</v>
      </c>
      <c r="AE52" s="86">
        <v>387.58776440086223</v>
      </c>
      <c r="AK52">
        <v>103.55</v>
      </c>
    </row>
    <row r="53" spans="20:37">
      <c r="U53" s="5"/>
      <c r="V53" s="5"/>
      <c r="W53" s="5"/>
      <c r="AA53">
        <v>2018</v>
      </c>
      <c r="AB53" s="84">
        <v>744.85</v>
      </c>
      <c r="AD53" s="86">
        <v>349.82769999999999</v>
      </c>
      <c r="AE53" s="86">
        <v>395.02230000000003</v>
      </c>
      <c r="AK53">
        <v>105.54</v>
      </c>
    </row>
    <row r="54" spans="20:37">
      <c r="T54" t="s">
        <v>267</v>
      </c>
      <c r="U54" s="5"/>
      <c r="V54" s="5"/>
      <c r="W54" s="5"/>
      <c r="AA54">
        <v>2019</v>
      </c>
      <c r="AB54" s="84">
        <v>753.39</v>
      </c>
      <c r="AD54" s="86">
        <v>353.83839999999998</v>
      </c>
      <c r="AE54" s="86">
        <v>399.55160000000001</v>
      </c>
      <c r="AK54">
        <v>106.75</v>
      </c>
    </row>
    <row r="55" spans="20:37">
      <c r="T55" t="e">
        <f ca="1">U4*U3*0.8895/12</f>
        <v>#N/A</v>
      </c>
      <c r="U55" s="5"/>
      <c r="V55" s="5"/>
      <c r="W55" s="5"/>
      <c r="AA55">
        <v>2020</v>
      </c>
      <c r="AB55">
        <v>761.22</v>
      </c>
      <c r="AD55" s="86">
        <v>357.51769999999999</v>
      </c>
      <c r="AE55" s="86">
        <v>403.70230000000004</v>
      </c>
      <c r="AF55">
        <v>357.51760000000002</v>
      </c>
      <c r="AG55">
        <v>403.70240000000001</v>
      </c>
      <c r="AK55">
        <v>107.86</v>
      </c>
    </row>
    <row r="56" spans="20:37">
      <c r="T56">
        <f ca="1">AH5*U3/12</f>
        <v>0</v>
      </c>
      <c r="U56" s="5"/>
      <c r="V56" s="5"/>
      <c r="W56" s="5"/>
      <c r="AA56">
        <v>2021</v>
      </c>
      <c r="AB56">
        <v>780.06</v>
      </c>
      <c r="AD56">
        <v>366.36779999999999</v>
      </c>
      <c r="AE56">
        <v>413.69219999999996</v>
      </c>
      <c r="AF56">
        <v>366.36770000000001</v>
      </c>
      <c r="AG56">
        <v>413.69229999999999</v>
      </c>
      <c r="AK56">
        <v>110.53</v>
      </c>
    </row>
    <row r="57" spans="20:37">
      <c r="T57" t="e">
        <f ca="1">T55+T56</f>
        <v>#N/A</v>
      </c>
      <c r="U57" s="84" t="e">
        <f ca="1">VLOOKUP(T57,T42:U52,2)</f>
        <v>#N/A</v>
      </c>
      <c r="V57" s="5"/>
      <c r="W57" s="5"/>
      <c r="AA57">
        <v>2022</v>
      </c>
      <c r="AB57">
        <v>862.56</v>
      </c>
      <c r="AD57">
        <v>405.11590000000001</v>
      </c>
      <c r="AE57">
        <v>457.44409999999993</v>
      </c>
      <c r="AF57">
        <v>405.11579999999998</v>
      </c>
      <c r="AG57">
        <v>457.44420000000002</v>
      </c>
      <c r="AK57">
        <v>122.22</v>
      </c>
    </row>
    <row r="58" spans="20:37">
      <c r="U58" s="5"/>
      <c r="V58" s="5"/>
      <c r="W58" s="5"/>
      <c r="AA58">
        <v>2023</v>
      </c>
      <c r="AB58">
        <v>886.76</v>
      </c>
      <c r="AD58">
        <v>416.48502999999999</v>
      </c>
      <c r="AE58">
        <v>470.27499999999998</v>
      </c>
      <c r="AF58">
        <f>AD58</f>
        <v>416.48502999999999</v>
      </c>
      <c r="AG58">
        <f>AE58</f>
        <v>470.27499999999998</v>
      </c>
      <c r="AK58">
        <v>125.65</v>
      </c>
    </row>
    <row r="59" spans="20:37">
      <c r="AA59">
        <v>2024</v>
      </c>
      <c r="AB59">
        <v>886.76</v>
      </c>
      <c r="AD59">
        <v>416.48502999999999</v>
      </c>
      <c r="AE59">
        <v>470.27499999999998</v>
      </c>
      <c r="AF59">
        <f>AD59</f>
        <v>416.48502999999999</v>
      </c>
      <c r="AG59">
        <f>AE59</f>
        <v>470.27499999999998</v>
      </c>
      <c r="AK59">
        <v>130.13</v>
      </c>
    </row>
    <row r="60" spans="20:37">
      <c r="AA60">
        <v>2025</v>
      </c>
      <c r="AB60">
        <v>937.56000000000006</v>
      </c>
      <c r="AD60">
        <v>440.35039999999998</v>
      </c>
      <c r="AE60">
        <v>497.20960000000002</v>
      </c>
      <c r="AK60">
        <v>132.85</v>
      </c>
    </row>
    <row r="61" spans="20:37">
      <c r="AA61">
        <v>2026</v>
      </c>
      <c r="AB61">
        <v>937.56000000000006</v>
      </c>
      <c r="AD61">
        <v>440.35039999999998</v>
      </c>
      <c r="AE61">
        <v>497.20960000000002</v>
      </c>
      <c r="AK61">
        <v>132.85</v>
      </c>
    </row>
  </sheetData>
  <sheetProtection algorithmName="SHA-512" hashValue="g23e9nVop4WHXax/qG2FvUjzG1lJKNUAPzLyU3kJBYKRcJ97DJeOy9lGk3cvCD9RNKYCer+Tly49O4vBNZxMJA==" saltValue="kUKGht/XuA0EUxpPx5VrLA==" spinCount="100000" sheet="1" objects="1" scenarios="1"/>
  <mergeCells count="26">
    <mergeCell ref="T29:W29"/>
    <mergeCell ref="AF46:AG46"/>
    <mergeCell ref="X7:X8"/>
    <mergeCell ref="C14:E15"/>
    <mergeCell ref="C17:E17"/>
    <mergeCell ref="I22:M22"/>
    <mergeCell ref="A20:B20"/>
    <mergeCell ref="C20:E21"/>
    <mergeCell ref="Y7:Y8"/>
    <mergeCell ref="T9:W9"/>
    <mergeCell ref="V10:V12"/>
    <mergeCell ref="A14:B14"/>
    <mergeCell ref="A3:B3"/>
    <mergeCell ref="A4:B4"/>
    <mergeCell ref="A5:B5"/>
    <mergeCell ref="T1:W2"/>
    <mergeCell ref="A11:B11"/>
    <mergeCell ref="C11:E12"/>
    <mergeCell ref="A1:E2"/>
    <mergeCell ref="I1:N2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Pre-programmed simulation</vt:lpstr>
      <vt:lpstr>SIMUL</vt:lpstr>
      <vt:lpstr>SIMUL SSGPI</vt:lpstr>
      <vt:lpstr>BV</vt:lpstr>
      <vt:lpstr>Gegevenslijsten</vt:lpstr>
      <vt:lpstr>BBSZ</vt:lpstr>
      <vt:lpstr>Werkbonus</vt:lpstr>
      <vt:lpstr>Loonschalen</vt:lpstr>
      <vt:lpstr>Jaartoelagen</vt:lpstr>
      <vt:lpstr>'Pre-programmed simulation'!Afdrukbereik</vt:lpstr>
      <vt:lpstr>SIMUL!Afdrukbereik</vt:lpstr>
      <vt:lpstr>'SIMUL SSGPI'!Afdrukbereik</vt:lpstr>
      <vt:lpstr>alleenst</vt:lpstr>
      <vt:lpstr>breuk</vt:lpstr>
      <vt:lpstr>gehuwdink</vt:lpstr>
      <vt:lpstr>gehuwdzink</vt:lpstr>
      <vt:lpstr>index</vt:lpstr>
      <vt:lpstr>minimum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</dc:creator>
  <cp:lastModifiedBy>Lampaert Pieter (SSGPI)</cp:lastModifiedBy>
  <cp:lastPrinted>2024-07-19T12:24:01Z</cp:lastPrinted>
  <dcterms:created xsi:type="dcterms:W3CDTF">2022-12-22T07:53:29Z</dcterms:created>
  <dcterms:modified xsi:type="dcterms:W3CDTF">2026-04-13T10:16:04Z</dcterms:modified>
</cp:coreProperties>
</file>